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7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Admin\Documents\Einrad\Bay_19\SDM20\"/>
    </mc:Choice>
  </mc:AlternateContent>
  <xr:revisionPtr revIDLastSave="0" documentId="13_ncr:1_{275A9297-24A5-4221-9A40-FFDB06D903B0}" xr6:coauthVersionLast="41" xr6:coauthVersionMax="41" xr10:uidLastSave="{00000000-0000-0000-0000-000000000000}"/>
  <workbookProtection workbookAlgorithmName="SHA-512" workbookHashValue="OViuBSZmd9d6E2+viCISl1ugPhpVBN6n2/AFLrYIWpqYtxlu6Zt1RTcEzs17Ua0gfi7NnjMWTHwwYAZ51ozv+w==" workbookSaltValue="ZreTJKX+3FFxkrbRNfBGUA==" workbookSpinCount="100000" lockStructure="1"/>
  <bookViews>
    <workbookView xWindow="-108" yWindow="-108" windowWidth="23256" windowHeight="12720" tabRatio="772" xr2:uid="{00000000-000D-0000-FFFF-FFFF00000000}"/>
  </bookViews>
  <sheets>
    <sheet name="Deckblatt" sheetId="12" r:id="rId1"/>
    <sheet name="Meldung" sheetId="1" r:id="rId2"/>
    <sheet name="Startgebühr" sheetId="5" r:id="rId3"/>
    <sheet name="EK w" sheetId="10" r:id="rId4"/>
    <sheet name="EK m" sheetId="13" r:id="rId5"/>
    <sheet name="Paarkür" sheetId="15" r:id="rId6"/>
    <sheet name="Kleingrp" sheetId="16" r:id="rId7"/>
    <sheet name="Großgrp" sheetId="17" r:id="rId8"/>
  </sheets>
  <definedNames>
    <definedName name="_xlnm._FilterDatabase" localSheetId="1" hidden="1">Meldung!$B$2:$L$51</definedName>
    <definedName name="_xlnm.Print_Area" localSheetId="4">'EK m'!$A$1:$F$15</definedName>
    <definedName name="_xlnm.Print_Area" localSheetId="3">'EK w'!$A$1:$I$61</definedName>
    <definedName name="_xlnm.Print_Area" localSheetId="7">Großgrp!$A$1:$Q$28</definedName>
    <definedName name="_xlnm.Print_Area" localSheetId="6">Kleingrp!$A$1:$G$63</definedName>
    <definedName name="_xlnm.Print_Area" localSheetId="1">Teilnehmer[[#All],[LfNr]:[Startgebühr]]</definedName>
    <definedName name="_xlnm.Print_Area" localSheetId="5">Paarkür!$A$1:$I$57</definedName>
    <definedName name="_xlnm.Print_Area" localSheetId="2">Startgebühr!$A$1:$F$37</definedName>
    <definedName name="GG" localSheetId="4">Meldung!#REF!</definedName>
    <definedName name="GG" localSheetId="7">Meldung!#REF!</definedName>
    <definedName name="GG" localSheetId="6">Meldung!#REF!</definedName>
    <definedName name="GG">Meldung!#REF!</definedName>
    <definedName name="Gruppen" localSheetId="4">Meldung!#REF!</definedName>
    <definedName name="Gruppen" localSheetId="3">Meldung!#REF!</definedName>
    <definedName name="Gruppen" localSheetId="7">Meldung!#REF!</definedName>
    <definedName name="Gruppen" localSheetId="6">Meldung!#REF!</definedName>
    <definedName name="Gruppen">Meldung!#REF!</definedName>
    <definedName name="m" localSheetId="1">Meldung!#REF!</definedName>
    <definedName name="Was" localSheetId="4">Meldung!#REF!</definedName>
    <definedName name="Was" localSheetId="3">Meldung!#REF!</definedName>
    <definedName name="Was" localSheetId="7">Meldung!#REF!</definedName>
    <definedName name="Was" localSheetId="6">Meldung!#REF!</definedName>
    <definedName name="Was">Meldung!#REF!</definedName>
    <definedName name="wase" localSheetId="7">Meldung!#REF!</definedName>
    <definedName name="wase" localSheetId="6">Meldung!#REF!</definedName>
    <definedName name="wase">Meldung!#REF!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83" i="16" l="1"/>
  <c r="B84" i="16"/>
  <c r="B85" i="16"/>
  <c r="B86" i="16"/>
  <c r="B87" i="16"/>
  <c r="B88" i="16"/>
  <c r="B89" i="16"/>
  <c r="B90" i="16"/>
  <c r="B91" i="16"/>
  <c r="B92" i="16"/>
  <c r="B82" i="16"/>
  <c r="B68" i="16"/>
  <c r="B69" i="16"/>
  <c r="B70" i="16"/>
  <c r="B71" i="16"/>
  <c r="B72" i="16"/>
  <c r="B73" i="16"/>
  <c r="B74" i="16"/>
  <c r="B75" i="16"/>
  <c r="B76" i="16"/>
  <c r="C76" i="16" s="1"/>
  <c r="B77" i="16"/>
  <c r="B67" i="16"/>
  <c r="B53" i="16"/>
  <c r="B54" i="16"/>
  <c r="B55" i="16"/>
  <c r="B56" i="16"/>
  <c r="B57" i="16"/>
  <c r="B58" i="16"/>
  <c r="B59" i="16"/>
  <c r="B60" i="16"/>
  <c r="B61" i="16"/>
  <c r="C61" i="16" s="1"/>
  <c r="B62" i="16"/>
  <c r="B52" i="16"/>
  <c r="B38" i="16"/>
  <c r="B39" i="16"/>
  <c r="B40" i="16"/>
  <c r="B41" i="16"/>
  <c r="B42" i="16"/>
  <c r="B43" i="16"/>
  <c r="B44" i="16"/>
  <c r="B45" i="16"/>
  <c r="B46" i="16"/>
  <c r="B47" i="16"/>
  <c r="B37" i="16"/>
  <c r="B23" i="16"/>
  <c r="B24" i="16"/>
  <c r="B25" i="16"/>
  <c r="B26" i="16"/>
  <c r="B27" i="16"/>
  <c r="B28" i="16"/>
  <c r="B29" i="16"/>
  <c r="B30" i="16"/>
  <c r="B31" i="16"/>
  <c r="C31" i="16" s="1"/>
  <c r="B32" i="16"/>
  <c r="B22" i="16"/>
  <c r="C91" i="16"/>
  <c r="D91" i="16"/>
  <c r="E46" i="16"/>
  <c r="B16" i="16"/>
  <c r="D16" i="16" s="1"/>
  <c r="N29" i="17"/>
  <c r="N30" i="17"/>
  <c r="N31" i="17"/>
  <c r="Q31" i="17" s="1"/>
  <c r="N32" i="17"/>
  <c r="N33" i="17"/>
  <c r="P33" i="17" s="1"/>
  <c r="O29" i="17"/>
  <c r="O30" i="17"/>
  <c r="O31" i="17"/>
  <c r="O32" i="17"/>
  <c r="P29" i="17"/>
  <c r="P30" i="17"/>
  <c r="P31" i="17"/>
  <c r="P32" i="17"/>
  <c r="Q29" i="17"/>
  <c r="Q30" i="17"/>
  <c r="Q32" i="17"/>
  <c r="M29" i="17"/>
  <c r="M30" i="17" s="1"/>
  <c r="M31" i="17" s="1"/>
  <c r="M32" i="17" s="1"/>
  <c r="M33" i="17" s="1"/>
  <c r="H29" i="17"/>
  <c r="J29" i="17" s="1"/>
  <c r="H30" i="17"/>
  <c r="K30" i="17" s="1"/>
  <c r="H31" i="17"/>
  <c r="I31" i="17" s="1"/>
  <c r="H32" i="17"/>
  <c r="I32" i="17" s="1"/>
  <c r="H33" i="17"/>
  <c r="I33" i="17" s="1"/>
  <c r="G29" i="17"/>
  <c r="G30" i="17"/>
  <c r="G31" i="17"/>
  <c r="G32" i="17"/>
  <c r="G33" i="17"/>
  <c r="B29" i="17"/>
  <c r="E29" i="17" s="1"/>
  <c r="B30" i="17"/>
  <c r="E30" i="17" s="1"/>
  <c r="B31" i="17"/>
  <c r="C31" i="17" s="1"/>
  <c r="B32" i="17"/>
  <c r="E32" i="17" s="1"/>
  <c r="B33" i="17"/>
  <c r="E33" i="17" s="1"/>
  <c r="C29" i="17"/>
  <c r="C30" i="17"/>
  <c r="D29" i="17"/>
  <c r="D30" i="17"/>
  <c r="D31" i="17"/>
  <c r="D32" i="17"/>
  <c r="A29" i="17"/>
  <c r="A30" i="17" s="1"/>
  <c r="A31" i="17" s="1"/>
  <c r="A32" i="17" s="1"/>
  <c r="A33" i="17" s="1"/>
  <c r="A83" i="16"/>
  <c r="A84" i="16" s="1"/>
  <c r="A85" i="16" s="1"/>
  <c r="A86" i="16" s="1"/>
  <c r="A87" i="16" s="1"/>
  <c r="A88" i="16" s="1"/>
  <c r="A89" i="16" s="1"/>
  <c r="C79" i="16"/>
  <c r="C64" i="16"/>
  <c r="A68" i="16"/>
  <c r="A69" i="16" s="1"/>
  <c r="A70" i="16" s="1"/>
  <c r="A71" i="16" s="1"/>
  <c r="A72" i="16" s="1"/>
  <c r="A73" i="16" s="1"/>
  <c r="A74" i="16" s="1"/>
  <c r="A1" i="17"/>
  <c r="A1" i="16"/>
  <c r="A1" i="15"/>
  <c r="A1" i="13"/>
  <c r="A1" i="10"/>
  <c r="B1" i="5"/>
  <c r="C3" i="5"/>
  <c r="R2" i="1"/>
  <c r="K31" i="17" l="1"/>
  <c r="I29" i="17"/>
  <c r="K29" i="17"/>
  <c r="J32" i="17"/>
  <c r="E76" i="16"/>
  <c r="I30" i="17"/>
  <c r="D61" i="16"/>
  <c r="J31" i="17"/>
  <c r="J33" i="17"/>
  <c r="E91" i="16"/>
  <c r="C46" i="16"/>
  <c r="D76" i="16"/>
  <c r="D46" i="16"/>
  <c r="E61" i="16"/>
  <c r="E31" i="16"/>
  <c r="D31" i="16"/>
  <c r="C16" i="16"/>
  <c r="E16" i="16"/>
  <c r="Q33" i="17"/>
  <c r="O33" i="17"/>
  <c r="K33" i="17"/>
  <c r="J30" i="17"/>
  <c r="K32" i="17"/>
  <c r="E31" i="17"/>
  <c r="C33" i="17"/>
  <c r="C32" i="17"/>
  <c r="D33" i="17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2" i="1"/>
  <c r="N12" i="1" l="1"/>
  <c r="N13" i="1"/>
  <c r="N14" i="1"/>
  <c r="N15" i="1"/>
  <c r="N16" i="1"/>
  <c r="N17" i="1"/>
  <c r="N18" i="1"/>
  <c r="N19" i="1"/>
  <c r="N20" i="1"/>
  <c r="N21" i="1"/>
  <c r="N23" i="1"/>
  <c r="N22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P3" i="1"/>
  <c r="P4" i="1"/>
  <c r="P5" i="1"/>
  <c r="P6" i="1"/>
  <c r="P7" i="1"/>
  <c r="P8" i="1"/>
  <c r="P9" i="1"/>
  <c r="P10" i="1"/>
  <c r="P11" i="1"/>
  <c r="N11" i="1" s="1"/>
  <c r="P12" i="1"/>
  <c r="P13" i="1"/>
  <c r="P14" i="1"/>
  <c r="P15" i="1"/>
  <c r="P16" i="1"/>
  <c r="P17" i="1"/>
  <c r="P18" i="1"/>
  <c r="P19" i="1"/>
  <c r="P20" i="1"/>
  <c r="P21" i="1"/>
  <c r="P23" i="1"/>
  <c r="P22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2" i="1"/>
  <c r="R11" i="1" l="1"/>
  <c r="S11" i="1"/>
  <c r="R12" i="1"/>
  <c r="S12" i="1"/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3" i="1"/>
  <c r="E22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A15" i="1"/>
  <c r="A14" i="1"/>
  <c r="A13" i="1"/>
  <c r="A12" i="1"/>
  <c r="A11" i="1"/>
  <c r="A10" i="1"/>
  <c r="A9" i="1"/>
  <c r="A8" i="1"/>
  <c r="A7" i="1"/>
  <c r="A6" i="1"/>
  <c r="A5" i="1"/>
  <c r="A2" i="1"/>
  <c r="A3" i="1"/>
  <c r="A4" i="1"/>
  <c r="A16" i="1"/>
  <c r="A17" i="1"/>
  <c r="A18" i="1"/>
  <c r="A19" i="1"/>
  <c r="A20" i="1"/>
  <c r="A21" i="1"/>
  <c r="A23" i="1"/>
  <c r="A22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C68" i="16" l="1"/>
  <c r="E90" i="16"/>
  <c r="E74" i="16"/>
  <c r="E88" i="16"/>
  <c r="D77" i="16"/>
  <c r="C87" i="16"/>
  <c r="D92" i="16"/>
  <c r="C69" i="16"/>
  <c r="E69" i="16"/>
  <c r="D71" i="16"/>
  <c r="E86" i="16"/>
  <c r="D68" i="16"/>
  <c r="C82" i="16"/>
  <c r="C89" i="16"/>
  <c r="D70" i="16"/>
  <c r="E89" i="16"/>
  <c r="E84" i="16"/>
  <c r="E92" i="16"/>
  <c r="C77" i="16"/>
  <c r="C74" i="16"/>
  <c r="C84" i="16"/>
  <c r="C70" i="16"/>
  <c r="D72" i="16"/>
  <c r="D88" i="16"/>
  <c r="D73" i="16"/>
  <c r="C83" i="16"/>
  <c r="D74" i="16"/>
  <c r="C85" i="16"/>
  <c r="D87" i="16"/>
  <c r="C75" i="16"/>
  <c r="C71" i="16"/>
  <c r="E87" i="16"/>
  <c r="E72" i="16"/>
  <c r="D69" i="16"/>
  <c r="D83" i="16"/>
  <c r="C90" i="16"/>
  <c r="D84" i="16"/>
  <c r="C67" i="16"/>
  <c r="E77" i="16"/>
  <c r="E70" i="16"/>
  <c r="E71" i="16"/>
  <c r="E68" i="16"/>
  <c r="D85" i="16"/>
  <c r="C92" i="16"/>
  <c r="D75" i="16"/>
  <c r="E85" i="16"/>
  <c r="E73" i="16"/>
  <c r="C73" i="16"/>
  <c r="D90" i="16"/>
  <c r="C86" i="16"/>
  <c r="D67" i="16"/>
  <c r="E75" i="16"/>
  <c r="D86" i="16"/>
  <c r="C88" i="16"/>
  <c r="E83" i="16"/>
  <c r="D82" i="16"/>
  <c r="D89" i="16"/>
  <c r="C72" i="16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H8" i="17"/>
  <c r="O4" i="17" l="1"/>
  <c r="I4" i="17"/>
  <c r="C4" i="17"/>
  <c r="C49" i="16"/>
  <c r="C34" i="16"/>
  <c r="C19" i="16"/>
  <c r="C4" i="16"/>
  <c r="R51" i="1" l="1"/>
  <c r="S51" i="1"/>
  <c r="B9" i="16"/>
  <c r="B8" i="16"/>
  <c r="B7" i="16"/>
  <c r="C9" i="15"/>
  <c r="G9" i="15" s="1"/>
  <c r="R32" i="1"/>
  <c r="R34" i="1"/>
  <c r="R36" i="1"/>
  <c r="S37" i="1"/>
  <c r="S39" i="1"/>
  <c r="S41" i="1"/>
  <c r="R31" i="1"/>
  <c r="R33" i="1"/>
  <c r="R35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S31" i="1"/>
  <c r="S32" i="1"/>
  <c r="S33" i="1"/>
  <c r="S34" i="1"/>
  <c r="S35" i="1"/>
  <c r="S36" i="1"/>
  <c r="S38" i="1"/>
  <c r="S40" i="1"/>
  <c r="S42" i="1"/>
  <c r="S43" i="1"/>
  <c r="S44" i="1"/>
  <c r="S45" i="1"/>
  <c r="S46" i="1"/>
  <c r="S47" i="1"/>
  <c r="S48" i="1"/>
  <c r="S49" i="1"/>
  <c r="S50" i="1"/>
  <c r="R30" i="1"/>
  <c r="S30" i="1"/>
  <c r="R29" i="1"/>
  <c r="S29" i="1"/>
  <c r="R28" i="1"/>
  <c r="S28" i="1"/>
  <c r="R27" i="1"/>
  <c r="S27" i="1"/>
  <c r="R26" i="1"/>
  <c r="S26" i="1"/>
  <c r="R25" i="1"/>
  <c r="S25" i="1"/>
  <c r="R24" i="1"/>
  <c r="S24" i="1"/>
  <c r="R22" i="1"/>
  <c r="S22" i="1"/>
  <c r="R23" i="1"/>
  <c r="S23" i="1"/>
  <c r="R21" i="1"/>
  <c r="S21" i="1"/>
  <c r="R20" i="1"/>
  <c r="S20" i="1"/>
  <c r="R19" i="1"/>
  <c r="S19" i="1"/>
  <c r="R18" i="1"/>
  <c r="S18" i="1"/>
  <c r="R17" i="1"/>
  <c r="S17" i="1"/>
  <c r="R16" i="1"/>
  <c r="S16" i="1"/>
  <c r="R15" i="1"/>
  <c r="S15" i="1"/>
  <c r="R14" i="1"/>
  <c r="S14" i="1"/>
  <c r="R13" i="1"/>
  <c r="S13" i="1"/>
  <c r="R10" i="1"/>
  <c r="N10" i="1" s="1"/>
  <c r="S10" i="1"/>
  <c r="R9" i="1"/>
  <c r="N9" i="1" s="1"/>
  <c r="S9" i="1"/>
  <c r="R8" i="1"/>
  <c r="N8" i="1" s="1"/>
  <c r="S8" i="1"/>
  <c r="R7" i="1"/>
  <c r="S7" i="1"/>
  <c r="R6" i="1"/>
  <c r="S6" i="1"/>
  <c r="R5" i="1"/>
  <c r="S5" i="1"/>
  <c r="R4" i="1"/>
  <c r="S4" i="1"/>
  <c r="H1" i="5"/>
  <c r="D18" i="5" s="1"/>
  <c r="B3" i="5"/>
  <c r="R3" i="1"/>
  <c r="W1" i="1"/>
  <c r="S3" i="1"/>
  <c r="C46" i="15"/>
  <c r="G46" i="15" s="1"/>
  <c r="C45" i="15"/>
  <c r="G45" i="15" s="1"/>
  <c r="C44" i="15"/>
  <c r="G44" i="15" s="1"/>
  <c r="C43" i="15"/>
  <c r="G43" i="15" s="1"/>
  <c r="C42" i="15"/>
  <c r="G42" i="15" s="1"/>
  <c r="C41" i="15"/>
  <c r="G41" i="15" s="1"/>
  <c r="C40" i="15"/>
  <c r="G40" i="15" s="1"/>
  <c r="C39" i="15"/>
  <c r="G39" i="15" s="1"/>
  <c r="C38" i="15"/>
  <c r="G38" i="15" s="1"/>
  <c r="C37" i="15"/>
  <c r="G37" i="15" s="1"/>
  <c r="C36" i="15"/>
  <c r="G36" i="15" s="1"/>
  <c r="C35" i="15"/>
  <c r="G35" i="15" s="1"/>
  <c r="C34" i="15"/>
  <c r="G34" i="15" s="1"/>
  <c r="C33" i="15"/>
  <c r="G33" i="15" s="1"/>
  <c r="C32" i="15"/>
  <c r="G32" i="15" s="1"/>
  <c r="C31" i="15"/>
  <c r="G31" i="15" s="1"/>
  <c r="C30" i="15"/>
  <c r="G30" i="15" s="1"/>
  <c r="C29" i="15"/>
  <c r="G29" i="15" s="1"/>
  <c r="C28" i="15"/>
  <c r="G28" i="15" s="1"/>
  <c r="C27" i="15"/>
  <c r="G27" i="15" s="1"/>
  <c r="C26" i="15"/>
  <c r="G26" i="15" s="1"/>
  <c r="C25" i="15"/>
  <c r="G25" i="15" s="1"/>
  <c r="C24" i="15"/>
  <c r="G24" i="15" s="1"/>
  <c r="C23" i="15"/>
  <c r="G23" i="15" s="1"/>
  <c r="C22" i="15"/>
  <c r="G22" i="15" s="1"/>
  <c r="C21" i="15"/>
  <c r="G21" i="15" s="1"/>
  <c r="C20" i="15"/>
  <c r="G20" i="15" s="1"/>
  <c r="C19" i="15"/>
  <c r="G19" i="15" s="1"/>
  <c r="C18" i="15"/>
  <c r="G18" i="15" s="1"/>
  <c r="C17" i="15"/>
  <c r="G17" i="15" s="1"/>
  <c r="C16" i="15"/>
  <c r="G16" i="15" s="1"/>
  <c r="C15" i="15"/>
  <c r="G15" i="15" s="1"/>
  <c r="C14" i="15"/>
  <c r="G14" i="15" s="1"/>
  <c r="C13" i="15"/>
  <c r="G13" i="15" s="1"/>
  <c r="C12" i="15"/>
  <c r="G12" i="15" s="1"/>
  <c r="C11" i="15"/>
  <c r="G11" i="15" s="1"/>
  <c r="C10" i="15"/>
  <c r="G10" i="15" s="1"/>
  <c r="C6" i="15"/>
  <c r="G6" i="15" s="1"/>
  <c r="B5" i="13"/>
  <c r="F5" i="13" s="1"/>
  <c r="B6" i="13"/>
  <c r="F6" i="13" s="1"/>
  <c r="B7" i="13"/>
  <c r="F7" i="13" s="1"/>
  <c r="B8" i="13"/>
  <c r="F8" i="13" s="1"/>
  <c r="B9" i="13"/>
  <c r="F9" i="13" s="1"/>
  <c r="B10" i="13"/>
  <c r="F10" i="13" s="1"/>
  <c r="B11" i="13"/>
  <c r="F11" i="13" s="1"/>
  <c r="B12" i="13"/>
  <c r="F12" i="13" s="1"/>
  <c r="B13" i="13"/>
  <c r="F13" i="13" s="1"/>
  <c r="B14" i="13"/>
  <c r="F14" i="13" s="1"/>
  <c r="B7" i="10"/>
  <c r="F7" i="10" s="1"/>
  <c r="B8" i="10"/>
  <c r="F8" i="10" s="1"/>
  <c r="B9" i="10"/>
  <c r="F9" i="10" s="1"/>
  <c r="B10" i="10"/>
  <c r="F10" i="10" s="1"/>
  <c r="B11" i="10"/>
  <c r="F11" i="10" s="1"/>
  <c r="B12" i="10"/>
  <c r="F12" i="10" s="1"/>
  <c r="B13" i="10"/>
  <c r="F13" i="10" s="1"/>
  <c r="B14" i="10"/>
  <c r="F14" i="10" s="1"/>
  <c r="B15" i="10"/>
  <c r="F15" i="10" s="1"/>
  <c r="B16" i="10"/>
  <c r="F16" i="10" s="1"/>
  <c r="B17" i="10"/>
  <c r="F17" i="10" s="1"/>
  <c r="B18" i="10"/>
  <c r="F18" i="10" s="1"/>
  <c r="B19" i="10"/>
  <c r="F19" i="10" s="1"/>
  <c r="B20" i="10"/>
  <c r="F20" i="10" s="1"/>
  <c r="B21" i="10"/>
  <c r="F21" i="10" s="1"/>
  <c r="B22" i="10"/>
  <c r="F22" i="10" s="1"/>
  <c r="B23" i="10"/>
  <c r="F23" i="10" s="1"/>
  <c r="B24" i="10"/>
  <c r="F24" i="10" s="1"/>
  <c r="B25" i="10"/>
  <c r="F25" i="10" s="1"/>
  <c r="B26" i="10"/>
  <c r="F26" i="10" s="1"/>
  <c r="B27" i="10"/>
  <c r="F27" i="10" s="1"/>
  <c r="B28" i="10"/>
  <c r="F28" i="10" s="1"/>
  <c r="B29" i="10"/>
  <c r="F29" i="10" s="1"/>
  <c r="B30" i="10"/>
  <c r="F30" i="10" s="1"/>
  <c r="B31" i="10"/>
  <c r="F31" i="10" s="1"/>
  <c r="B32" i="10"/>
  <c r="F32" i="10" s="1"/>
  <c r="B33" i="10"/>
  <c r="F33" i="10" s="1"/>
  <c r="B34" i="10"/>
  <c r="F34" i="10" s="1"/>
  <c r="B35" i="10"/>
  <c r="F35" i="10" s="1"/>
  <c r="S2" i="1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A6" i="10"/>
  <c r="A7" i="10" s="1"/>
  <c r="A8" i="10" s="1"/>
  <c r="A9" i="10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M8" i="17"/>
  <c r="M9" i="17" s="1"/>
  <c r="M10" i="17" s="1"/>
  <c r="M11" i="17" s="1"/>
  <c r="M12" i="17" s="1"/>
  <c r="M13" i="17" s="1"/>
  <c r="M14" i="17" s="1"/>
  <c r="M15" i="17" s="1"/>
  <c r="M16" i="17" s="1"/>
  <c r="M17" i="17" s="1"/>
  <c r="M18" i="17" s="1"/>
  <c r="M19" i="17" s="1"/>
  <c r="M20" i="17" s="1"/>
  <c r="M21" i="17" s="1"/>
  <c r="M22" i="17" s="1"/>
  <c r="M23" i="17" s="1"/>
  <c r="M24" i="17" s="1"/>
  <c r="M25" i="17" s="1"/>
  <c r="M26" i="17" s="1"/>
  <c r="M27" i="17" s="1"/>
  <c r="M28" i="17" s="1"/>
  <c r="G8" i="17"/>
  <c r="G9" i="17"/>
  <c r="G10" i="17" s="1"/>
  <c r="G11" i="17"/>
  <c r="G12" i="17" s="1"/>
  <c r="G13" i="17" s="1"/>
  <c r="G14" i="17" s="1"/>
  <c r="G15" i="17" s="1"/>
  <c r="G16" i="17" s="1"/>
  <c r="G17" i="17" s="1"/>
  <c r="G18" i="17" s="1"/>
  <c r="G19" i="17" s="1"/>
  <c r="G20" i="17" s="1"/>
  <c r="G21" i="17" s="1"/>
  <c r="G22" i="17" s="1"/>
  <c r="G23" i="17" s="1"/>
  <c r="G24" i="17" s="1"/>
  <c r="G25" i="17" s="1"/>
  <c r="G26" i="17" s="1"/>
  <c r="G27" i="17" s="1"/>
  <c r="G28" i="17" s="1"/>
  <c r="A8" i="17"/>
  <c r="A9" i="17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B28" i="17"/>
  <c r="B27" i="17"/>
  <c r="B26" i="17"/>
  <c r="B17" i="17"/>
  <c r="B18" i="17"/>
  <c r="B19" i="17"/>
  <c r="B20" i="17"/>
  <c r="B21" i="17"/>
  <c r="B22" i="17"/>
  <c r="B23" i="17"/>
  <c r="B24" i="17"/>
  <c r="B25" i="17"/>
  <c r="B15" i="16"/>
  <c r="B17" i="16"/>
  <c r="B15" i="17"/>
  <c r="B16" i="17"/>
  <c r="N7" i="17"/>
  <c r="N8" i="17"/>
  <c r="H7" i="17"/>
  <c r="B7" i="17"/>
  <c r="B8" i="17"/>
  <c r="B9" i="17"/>
  <c r="B10" i="17"/>
  <c r="B11" i="17"/>
  <c r="B12" i="17"/>
  <c r="B13" i="17"/>
  <c r="B14" i="17"/>
  <c r="A53" i="16"/>
  <c r="A54" i="16"/>
  <c r="A55" i="16" s="1"/>
  <c r="A56" i="16" s="1"/>
  <c r="A57" i="16" s="1"/>
  <c r="A58" i="16" s="1"/>
  <c r="A59" i="16" s="1"/>
  <c r="A38" i="16"/>
  <c r="A39" i="16" s="1"/>
  <c r="A40" i="16" s="1"/>
  <c r="A41" i="16" s="1"/>
  <c r="A42" i="16" s="1"/>
  <c r="A43" i="16" s="1"/>
  <c r="A44" i="16" s="1"/>
  <c r="A23" i="16"/>
  <c r="A24" i="16" s="1"/>
  <c r="A25" i="16" s="1"/>
  <c r="A26" i="16" s="1"/>
  <c r="A27" i="16" s="1"/>
  <c r="A28" i="16" s="1"/>
  <c r="A29" i="16" s="1"/>
  <c r="B10" i="16"/>
  <c r="B11" i="16"/>
  <c r="B12" i="16"/>
  <c r="B13" i="16"/>
  <c r="B14" i="16"/>
  <c r="A8" i="16"/>
  <c r="A9" i="16" s="1"/>
  <c r="A10" i="16" s="1"/>
  <c r="A11" i="16" s="1"/>
  <c r="A12" i="16" s="1"/>
  <c r="A13" i="16" s="1"/>
  <c r="A14" i="16" s="1"/>
  <c r="A6" i="13"/>
  <c r="A7" i="13" s="1"/>
  <c r="A8" i="13" s="1"/>
  <c r="A9" i="13" s="1"/>
  <c r="A10" i="13" s="1"/>
  <c r="A11" i="13" s="1"/>
  <c r="A12" i="13" s="1"/>
  <c r="A13" i="13" s="1"/>
  <c r="A14" i="13" s="1"/>
  <c r="E3" i="1" l="1"/>
  <c r="E67" i="16" s="1"/>
  <c r="E2" i="1"/>
  <c r="E82" i="16" s="1"/>
  <c r="C22" i="16"/>
  <c r="D9" i="16"/>
  <c r="C44" i="16"/>
  <c r="K27" i="17"/>
  <c r="C30" i="16"/>
  <c r="C53" i="16"/>
  <c r="K22" i="17"/>
  <c r="E13" i="16"/>
  <c r="O25" i="17"/>
  <c r="C25" i="16"/>
  <c r="D41" i="16"/>
  <c r="Q16" i="17"/>
  <c r="B6" i="10"/>
  <c r="C8" i="15"/>
  <c r="D20" i="17"/>
  <c r="F13" i="15"/>
  <c r="D52" i="16"/>
  <c r="K14" i="17"/>
  <c r="P14" i="17"/>
  <c r="D2" i="10"/>
  <c r="E2" i="10" s="1"/>
  <c r="E9" i="16"/>
  <c r="F17" i="15"/>
  <c r="F6" i="15"/>
  <c r="E12" i="10"/>
  <c r="I24" i="17"/>
  <c r="K15" i="17"/>
  <c r="I8" i="17"/>
  <c r="C57" i="16"/>
  <c r="C37" i="16"/>
  <c r="E27" i="16"/>
  <c r="E58" i="16"/>
  <c r="D28" i="16"/>
  <c r="K17" i="17"/>
  <c r="K25" i="17"/>
  <c r="J16" i="17"/>
  <c r="K28" i="17"/>
  <c r="I19" i="17"/>
  <c r="D60" i="16"/>
  <c r="C38" i="16"/>
  <c r="D15" i="17"/>
  <c r="O9" i="17"/>
  <c r="F29" i="15"/>
  <c r="F45" i="15"/>
  <c r="B5" i="10"/>
  <c r="C7" i="15"/>
  <c r="G7" i="15" s="1"/>
  <c r="O8" i="17"/>
  <c r="O23" i="17"/>
  <c r="D19" i="17"/>
  <c r="Q22" i="17"/>
  <c r="E11" i="13"/>
  <c r="C5" i="15"/>
  <c r="E7" i="10"/>
  <c r="E56" i="16"/>
  <c r="D10" i="17"/>
  <c r="K13" i="17"/>
  <c r="C45" i="16"/>
  <c r="C27" i="17"/>
  <c r="F16" i="15"/>
  <c r="D26" i="16"/>
  <c r="C42" i="16"/>
  <c r="K21" i="17"/>
  <c r="O17" i="17"/>
  <c r="F21" i="15"/>
  <c r="F37" i="15"/>
  <c r="I20" i="17"/>
  <c r="E13" i="13"/>
  <c r="D10" i="16"/>
  <c r="C24" i="16"/>
  <c r="E40" i="16"/>
  <c r="K18" i="17"/>
  <c r="D55" i="16"/>
  <c r="D9" i="17"/>
  <c r="I11" i="17"/>
  <c r="D25" i="17"/>
  <c r="D17" i="17"/>
  <c r="D28" i="17"/>
  <c r="O28" i="17"/>
  <c r="D13" i="17"/>
  <c r="O24" i="17"/>
  <c r="C5" i="13"/>
  <c r="C15" i="16"/>
  <c r="O15" i="17"/>
  <c r="E54" i="16"/>
  <c r="K9" i="17"/>
  <c r="J23" i="17"/>
  <c r="I26" i="17"/>
  <c r="D11" i="15"/>
  <c r="F35" i="15"/>
  <c r="F43" i="15"/>
  <c r="E14" i="16"/>
  <c r="D14" i="17"/>
  <c r="I7" i="17"/>
  <c r="D16" i="17"/>
  <c r="C18" i="17"/>
  <c r="O21" i="17"/>
  <c r="O13" i="17"/>
  <c r="D31" i="10"/>
  <c r="E23" i="10"/>
  <c r="D7" i="10"/>
  <c r="E23" i="15"/>
  <c r="D31" i="15"/>
  <c r="F39" i="15"/>
  <c r="O12" i="17"/>
  <c r="C12" i="17"/>
  <c r="P7" i="17"/>
  <c r="C24" i="17"/>
  <c r="O27" i="17"/>
  <c r="O19" i="17"/>
  <c r="O11" i="17"/>
  <c r="D29" i="10"/>
  <c r="D21" i="10"/>
  <c r="C7" i="13"/>
  <c r="F25" i="15"/>
  <c r="F33" i="15"/>
  <c r="F41" i="15"/>
  <c r="Q20" i="17"/>
  <c r="E22" i="10"/>
  <c r="D12" i="16"/>
  <c r="C11" i="16"/>
  <c r="D11" i="17"/>
  <c r="D23" i="17"/>
  <c r="D26" i="17"/>
  <c r="O26" i="17"/>
  <c r="P18" i="17"/>
  <c r="Q10" i="17"/>
  <c r="E18" i="15"/>
  <c r="F26" i="15"/>
  <c r="F34" i="15"/>
  <c r="C17" i="17"/>
  <c r="D15" i="16"/>
  <c r="J27" i="17"/>
  <c r="D2" i="16"/>
  <c r="E2" i="16" s="1"/>
  <c r="D2" i="13"/>
  <c r="E2" i="13" s="1"/>
  <c r="D2" i="15"/>
  <c r="E2" i="15" s="1"/>
  <c r="D2" i="17"/>
  <c r="E2" i="17" s="1"/>
  <c r="D9" i="15"/>
  <c r="D17" i="15"/>
  <c r="D10" i="13"/>
  <c r="D37" i="16"/>
  <c r="D42" i="15"/>
  <c r="E45" i="15"/>
  <c r="D9" i="13"/>
  <c r="C54" i="16"/>
  <c r="C52" i="16"/>
  <c r="E28" i="10"/>
  <c r="E5" i="13"/>
  <c r="D24" i="16"/>
  <c r="D25" i="16"/>
  <c r="K23" i="17"/>
  <c r="E37" i="16"/>
  <c r="D30" i="16"/>
  <c r="C10" i="16"/>
  <c r="D45" i="16"/>
  <c r="D14" i="16"/>
  <c r="E34" i="15"/>
  <c r="E12" i="13"/>
  <c r="E9" i="13"/>
  <c r="D32" i="10"/>
  <c r="D24" i="10"/>
  <c r="C12" i="13"/>
  <c r="D12" i="13"/>
  <c r="C9" i="13"/>
  <c r="E7" i="17"/>
  <c r="E29" i="16"/>
  <c r="D27" i="15"/>
  <c r="J25" i="17"/>
  <c r="C14" i="16"/>
  <c r="C58" i="16"/>
  <c r="K12" i="17"/>
  <c r="I23" i="17"/>
  <c r="I28" i="17"/>
  <c r="C20" i="10"/>
  <c r="D58" i="16"/>
  <c r="C60" i="16"/>
  <c r="D12" i="10"/>
  <c r="J21" i="17"/>
  <c r="C34" i="10"/>
  <c r="D25" i="10"/>
  <c r="E25" i="10"/>
  <c r="C8" i="13"/>
  <c r="E10" i="16"/>
  <c r="D17" i="10"/>
  <c r="D15" i="15"/>
  <c r="I17" i="17"/>
  <c r="J28" i="17"/>
  <c r="O10" i="17"/>
  <c r="C18" i="10"/>
  <c r="D16" i="10"/>
  <c r="E17" i="10"/>
  <c r="E15" i="15"/>
  <c r="E27" i="15"/>
  <c r="D35" i="15"/>
  <c r="E8" i="13"/>
  <c r="E8" i="17"/>
  <c r="E24" i="10"/>
  <c r="F9" i="15"/>
  <c r="E11" i="16"/>
  <c r="D38" i="16"/>
  <c r="C17" i="10"/>
  <c r="D53" i="16"/>
  <c r="C9" i="10"/>
  <c r="D8" i="10"/>
  <c r="E9" i="10"/>
  <c r="C13" i="13"/>
  <c r="E16" i="15"/>
  <c r="D23" i="15"/>
  <c r="E31" i="15"/>
  <c r="D39" i="15"/>
  <c r="C33" i="10"/>
  <c r="D8" i="13"/>
  <c r="F15" i="15"/>
  <c r="E53" i="16"/>
  <c r="D33" i="10"/>
  <c r="F23" i="15"/>
  <c r="F31" i="15"/>
  <c r="E39" i="15"/>
  <c r="E41" i="16"/>
  <c r="D18" i="15"/>
  <c r="C12" i="16"/>
  <c r="J17" i="17"/>
  <c r="E11" i="15"/>
  <c r="E42" i="15"/>
  <c r="E24" i="16"/>
  <c r="E25" i="16"/>
  <c r="N7" i="1"/>
  <c r="E12" i="16"/>
  <c r="E26" i="16"/>
  <c r="D54" i="16"/>
  <c r="E15" i="16"/>
  <c r="E45" i="16"/>
  <c r="I25" i="17"/>
  <c r="C32" i="10"/>
  <c r="C16" i="10"/>
  <c r="D28" i="10"/>
  <c r="D9" i="10"/>
  <c r="F11" i="15"/>
  <c r="D19" i="15"/>
  <c r="D21" i="15"/>
  <c r="D25" i="15"/>
  <c r="F27" i="15"/>
  <c r="E35" i="15"/>
  <c r="F42" i="15"/>
  <c r="C27" i="16"/>
  <c r="K10" i="17"/>
  <c r="C26" i="10"/>
  <c r="C10" i="10"/>
  <c r="E20" i="10"/>
  <c r="D14" i="15"/>
  <c r="F19" i="15"/>
  <c r="E33" i="15"/>
  <c r="D43" i="15"/>
  <c r="C56" i="16"/>
  <c r="E39" i="16"/>
  <c r="C28" i="10"/>
  <c r="C12" i="10"/>
  <c r="E19" i="15"/>
  <c r="I21" i="17"/>
  <c r="E38" i="16"/>
  <c r="C41" i="16"/>
  <c r="C25" i="10"/>
  <c r="D10" i="15"/>
  <c r="E14" i="15"/>
  <c r="D26" i="15"/>
  <c r="D37" i="15"/>
  <c r="D41" i="15"/>
  <c r="E43" i="15"/>
  <c r="E21" i="15"/>
  <c r="E25" i="15"/>
  <c r="D33" i="15"/>
  <c r="D27" i="16"/>
  <c r="E55" i="16"/>
  <c r="C28" i="16"/>
  <c r="D11" i="16"/>
  <c r="E30" i="16"/>
  <c r="E60" i="16"/>
  <c r="I18" i="17"/>
  <c r="C24" i="10"/>
  <c r="C8" i="10"/>
  <c r="D20" i="10"/>
  <c r="E32" i="10"/>
  <c r="E16" i="10"/>
  <c r="E10" i="15"/>
  <c r="E26" i="15"/>
  <c r="D34" i="15"/>
  <c r="E37" i="15"/>
  <c r="E41" i="15"/>
  <c r="K20" i="17"/>
  <c r="D6" i="15"/>
  <c r="E6" i="15"/>
  <c r="E42" i="16"/>
  <c r="F12" i="15"/>
  <c r="E12" i="15"/>
  <c r="D12" i="15"/>
  <c r="F20" i="15"/>
  <c r="E20" i="15"/>
  <c r="D20" i="15"/>
  <c r="D42" i="16"/>
  <c r="E13" i="15"/>
  <c r="D13" i="15"/>
  <c r="C17" i="16"/>
  <c r="D17" i="16"/>
  <c r="E17" i="16"/>
  <c r="F28" i="15"/>
  <c r="E28" i="15"/>
  <c r="D28" i="15"/>
  <c r="J20" i="17"/>
  <c r="C23" i="10"/>
  <c r="D23" i="10"/>
  <c r="D30" i="10"/>
  <c r="E30" i="10"/>
  <c r="D22" i="10"/>
  <c r="C22" i="10"/>
  <c r="D14" i="10"/>
  <c r="E14" i="10"/>
  <c r="D8" i="16"/>
  <c r="C8" i="16"/>
  <c r="K26" i="17"/>
  <c r="J26" i="17"/>
  <c r="C47" i="16"/>
  <c r="D47" i="16"/>
  <c r="E47" i="16"/>
  <c r="E23" i="16"/>
  <c r="D23" i="16"/>
  <c r="C23" i="16"/>
  <c r="C15" i="10"/>
  <c r="D15" i="10"/>
  <c r="E15" i="10"/>
  <c r="E22" i="16"/>
  <c r="D22" i="16"/>
  <c r="E8" i="16"/>
  <c r="D29" i="16"/>
  <c r="C29" i="16"/>
  <c r="E44" i="16"/>
  <c r="D44" i="16"/>
  <c r="E59" i="16"/>
  <c r="D59" i="16"/>
  <c r="C59" i="16"/>
  <c r="C30" i="10"/>
  <c r="E57" i="16"/>
  <c r="D57" i="16"/>
  <c r="C11" i="13"/>
  <c r="D11" i="13"/>
  <c r="D7" i="16"/>
  <c r="C7" i="16"/>
  <c r="J19" i="17"/>
  <c r="K19" i="17"/>
  <c r="F36" i="15"/>
  <c r="E36" i="15"/>
  <c r="D36" i="15"/>
  <c r="F44" i="15"/>
  <c r="E44" i="15"/>
  <c r="D44" i="15"/>
  <c r="C31" i="10"/>
  <c r="E31" i="10"/>
  <c r="C7" i="10"/>
  <c r="J18" i="17"/>
  <c r="C9" i="16"/>
  <c r="E43" i="16"/>
  <c r="D43" i="16"/>
  <c r="C43" i="16"/>
  <c r="C32" i="16"/>
  <c r="D32" i="16"/>
  <c r="E32" i="16"/>
  <c r="C62" i="16"/>
  <c r="D62" i="16"/>
  <c r="E62" i="16"/>
  <c r="E22" i="17"/>
  <c r="C14" i="10"/>
  <c r="C40" i="16"/>
  <c r="I27" i="17"/>
  <c r="C29" i="10"/>
  <c r="E29" i="10"/>
  <c r="C21" i="10"/>
  <c r="E21" i="10"/>
  <c r="C13" i="10"/>
  <c r="E13" i="10"/>
  <c r="F22" i="15"/>
  <c r="E22" i="15"/>
  <c r="D22" i="15"/>
  <c r="N5" i="1"/>
  <c r="D13" i="10"/>
  <c r="C35" i="10"/>
  <c r="D35" i="10"/>
  <c r="E35" i="10"/>
  <c r="C27" i="10"/>
  <c r="D27" i="10"/>
  <c r="E27" i="10"/>
  <c r="C19" i="10"/>
  <c r="D19" i="10"/>
  <c r="E19" i="10"/>
  <c r="C11" i="10"/>
  <c r="D11" i="10"/>
  <c r="E11" i="10"/>
  <c r="E7" i="13"/>
  <c r="D40" i="16"/>
  <c r="F38" i="15"/>
  <c r="E38" i="15"/>
  <c r="D38" i="15"/>
  <c r="C26" i="16"/>
  <c r="E28" i="16"/>
  <c r="E14" i="13"/>
  <c r="D14" i="13"/>
  <c r="C14" i="13"/>
  <c r="E6" i="13"/>
  <c r="D6" i="13"/>
  <c r="C6" i="13"/>
  <c r="D29" i="15"/>
  <c r="F24" i="15"/>
  <c r="E24" i="15"/>
  <c r="D24" i="15"/>
  <c r="F32" i="15"/>
  <c r="E32" i="15"/>
  <c r="D32" i="15"/>
  <c r="F40" i="15"/>
  <c r="E40" i="15"/>
  <c r="D40" i="15"/>
  <c r="F30" i="15"/>
  <c r="E30" i="15"/>
  <c r="D30" i="15"/>
  <c r="F46" i="15"/>
  <c r="E46" i="15"/>
  <c r="D46" i="15"/>
  <c r="C13" i="16"/>
  <c r="C39" i="16"/>
  <c r="D56" i="16"/>
  <c r="D13" i="16"/>
  <c r="D39" i="16"/>
  <c r="C55" i="16"/>
  <c r="J24" i="17"/>
  <c r="I22" i="17"/>
  <c r="K24" i="17"/>
  <c r="J22" i="17"/>
  <c r="D7" i="13"/>
  <c r="D13" i="13"/>
  <c r="D5" i="13"/>
  <c r="D16" i="15"/>
  <c r="F18" i="15"/>
  <c r="E29" i="15"/>
  <c r="D45" i="15"/>
  <c r="E21" i="17"/>
  <c r="E10" i="13"/>
  <c r="N6" i="1"/>
  <c r="N4" i="1"/>
  <c r="E34" i="10"/>
  <c r="E26" i="10"/>
  <c r="E18" i="10"/>
  <c r="E10" i="10"/>
  <c r="E9" i="15"/>
  <c r="E17" i="15"/>
  <c r="D34" i="10"/>
  <c r="D26" i="10"/>
  <c r="D18" i="10"/>
  <c r="D10" i="10"/>
  <c r="E33" i="10"/>
  <c r="C10" i="13"/>
  <c r="I15" i="17"/>
  <c r="E26" i="17"/>
  <c r="E16" i="17"/>
  <c r="O14" i="17"/>
  <c r="E15" i="17"/>
  <c r="Q18" i="17"/>
  <c r="P28" i="17"/>
  <c r="O18" i="17"/>
  <c r="K16" i="17"/>
  <c r="P22" i="17"/>
  <c r="Q26" i="17"/>
  <c r="P16" i="17"/>
  <c r="P26" i="17"/>
  <c r="O20" i="17"/>
  <c r="O16" i="17"/>
  <c r="P10" i="17"/>
  <c r="J8" i="17"/>
  <c r="K8" i="17"/>
  <c r="P12" i="17"/>
  <c r="E13" i="17"/>
  <c r="N2" i="1"/>
  <c r="D22" i="17"/>
  <c r="P8" i="17"/>
  <c r="D21" i="17"/>
  <c r="O22" i="17"/>
  <c r="K7" i="17"/>
  <c r="I10" i="17"/>
  <c r="N3" i="1"/>
  <c r="J10" i="17"/>
  <c r="C28" i="17"/>
  <c r="C22" i="17"/>
  <c r="J11" i="17"/>
  <c r="J15" i="17"/>
  <c r="C21" i="17"/>
  <c r="C26" i="17"/>
  <c r="Q28" i="17"/>
  <c r="P20" i="17"/>
  <c r="Q12" i="17"/>
  <c r="C9" i="17"/>
  <c r="I14" i="17"/>
  <c r="C23" i="17"/>
  <c r="E27" i="17"/>
  <c r="Q52" i="1"/>
  <c r="J14" i="17"/>
  <c r="K11" i="17"/>
  <c r="C13" i="17"/>
  <c r="D27" i="17"/>
  <c r="C19" i="17"/>
  <c r="J7" i="17"/>
  <c r="I9" i="17"/>
  <c r="I13" i="17"/>
  <c r="Q8" i="17"/>
  <c r="I16" i="17"/>
  <c r="E20" i="17"/>
  <c r="Q24" i="17"/>
  <c r="C20" i="17"/>
  <c r="C11" i="17"/>
  <c r="O7" i="17"/>
  <c r="E9" i="17"/>
  <c r="E11" i="17"/>
  <c r="C10" i="17"/>
  <c r="J13" i="17"/>
  <c r="E19" i="17"/>
  <c r="P24" i="17"/>
  <c r="Q14" i="17"/>
  <c r="D12" i="17"/>
  <c r="E12" i="17"/>
  <c r="Q7" i="17"/>
  <c r="E25" i="17"/>
  <c r="C25" i="17"/>
  <c r="E10" i="17"/>
  <c r="E14" i="17"/>
  <c r="E17" i="17"/>
  <c r="E28" i="17"/>
  <c r="C8" i="17"/>
  <c r="D18" i="17"/>
  <c r="D8" i="17"/>
  <c r="E18" i="17"/>
  <c r="C7" i="17"/>
  <c r="J9" i="17"/>
  <c r="C16" i="17"/>
  <c r="D7" i="17"/>
  <c r="I12" i="17"/>
  <c r="C15" i="17"/>
  <c r="E24" i="17"/>
  <c r="Q27" i="17"/>
  <c r="Q25" i="17"/>
  <c r="Q23" i="17"/>
  <c r="Q21" i="17"/>
  <c r="Q19" i="17"/>
  <c r="Q17" i="17"/>
  <c r="Q15" i="17"/>
  <c r="Q13" i="17"/>
  <c r="Q11" i="17"/>
  <c r="Q9" i="17"/>
  <c r="J12" i="17"/>
  <c r="C14" i="17"/>
  <c r="E23" i="17"/>
  <c r="D24" i="17"/>
  <c r="P27" i="17"/>
  <c r="P25" i="17"/>
  <c r="P23" i="17"/>
  <c r="P21" i="17"/>
  <c r="P19" i="17"/>
  <c r="P17" i="17"/>
  <c r="P15" i="17"/>
  <c r="P13" i="17"/>
  <c r="P11" i="17"/>
  <c r="P9" i="17"/>
  <c r="E8" i="15" l="1"/>
  <c r="G8" i="15"/>
  <c r="D5" i="15"/>
  <c r="G5" i="15"/>
  <c r="C6" i="10"/>
  <c r="F6" i="10"/>
  <c r="D5" i="10"/>
  <c r="F5" i="10"/>
  <c r="E5" i="10"/>
  <c r="E52" i="16"/>
  <c r="F14" i="15"/>
  <c r="D6" i="10"/>
  <c r="E6" i="10"/>
  <c r="E52" i="1"/>
  <c r="F5" i="15"/>
  <c r="E5" i="15"/>
  <c r="D8" i="15"/>
  <c r="F8" i="15"/>
  <c r="E7" i="15"/>
  <c r="D7" i="15"/>
  <c r="F7" i="15"/>
  <c r="C5" i="10"/>
  <c r="E8" i="10"/>
  <c r="F10" i="15"/>
  <c r="E7" i="16"/>
  <c r="E8" i="5"/>
  <c r="N5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Reich</author>
  </authors>
  <commentList>
    <comment ref="F1" authorId="0" shapeId="0" xr:uid="{00000000-0006-0000-0100-000001000000}">
      <text>
        <r>
          <rPr>
            <b/>
            <sz val="9"/>
            <color indexed="8"/>
            <rFont val="Tahoma"/>
            <family val="2"/>
          </rPr>
          <t>Geschlecht auswählen</t>
        </r>
      </text>
    </comment>
    <comment ref="G1" authorId="0" shapeId="0" xr:uid="{00000000-0006-0000-0100-000002000000}">
      <text>
        <r>
          <rPr>
            <b/>
            <sz val="9"/>
            <color indexed="8"/>
            <rFont val="Tahoma"/>
            <family val="2"/>
          </rPr>
          <t>Auswählen:
 Nein
 Ja</t>
        </r>
      </text>
    </comment>
    <comment ref="I1" authorId="0" shapeId="0" xr:uid="{00000000-0006-0000-0100-000003000000}">
      <text>
        <r>
          <rPr>
            <b/>
            <sz val="9"/>
            <color indexed="8"/>
            <rFont val="Tahoma"/>
            <family val="2"/>
          </rPr>
          <t>Auswählen:</t>
        </r>
      </text>
    </comment>
    <comment ref="K1" authorId="0" shapeId="0" xr:uid="{00000000-0006-0000-0100-000004000000}">
      <text>
        <r>
          <rPr>
            <b/>
            <sz val="9"/>
            <color indexed="8"/>
            <rFont val="Tahoma"/>
            <family val="2"/>
          </rPr>
          <t>Auswählen
Kürname in Blatt Kleingrp
Eintragen</t>
        </r>
      </text>
    </comment>
    <comment ref="L1" authorId="0" shapeId="0" xr:uid="{00000000-0006-0000-0100-000005000000}">
      <text>
        <r>
          <rPr>
            <b/>
            <sz val="9"/>
            <color indexed="8"/>
            <rFont val="Tahoma"/>
            <family val="2"/>
          </rPr>
          <t>Auswählen
 Kürname in Blatt Großgrp
eintragen</t>
        </r>
      </text>
    </comment>
    <comment ref="I2" authorId="1" shapeId="0" xr:uid="{00000000-0006-0000-0100-000006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" authorId="1" shapeId="0" xr:uid="{00000000-0006-0000-0100-000007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" authorId="1" shapeId="0" xr:uid="{00000000-0006-0000-0100-000008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5" authorId="1" shapeId="0" xr:uid="{00000000-0006-0000-0100-000009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6" authorId="1" shapeId="0" xr:uid="{00000000-0006-0000-0100-00000A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7" authorId="1" shapeId="0" xr:uid="{00000000-0006-0000-0100-00000B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8" authorId="1" shapeId="0" xr:uid="{00000000-0006-0000-0100-00000C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9" authorId="1" shapeId="0" xr:uid="{00000000-0006-0000-0100-00000D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0" authorId="1" shapeId="0" xr:uid="{00000000-0006-0000-0100-00000E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1" authorId="1" shapeId="0" xr:uid="{00000000-0006-0000-0100-00000F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" authorId="1" shapeId="0" xr:uid="{00000000-0006-0000-0100-000010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3" authorId="1" shapeId="0" xr:uid="{00000000-0006-0000-0100-000011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" authorId="1" shapeId="0" xr:uid="{00000000-0006-0000-0100-000012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5" authorId="1" shapeId="0" xr:uid="{00000000-0006-0000-0100-000013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6" authorId="1" shapeId="0" xr:uid="{00000000-0006-0000-0100-000014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7" authorId="1" shapeId="0" xr:uid="{00000000-0006-0000-0100-000015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8" authorId="1" shapeId="0" xr:uid="{00000000-0006-0000-0100-000016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9" authorId="1" shapeId="0" xr:uid="{00000000-0006-0000-0100-000017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20" authorId="1" shapeId="0" xr:uid="{00000000-0006-0000-0100-000018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21" authorId="1" shapeId="0" xr:uid="{00000000-0006-0000-0100-000019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22" authorId="1" shapeId="0" xr:uid="{00000000-0006-0000-0100-00001A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23" authorId="1" shapeId="0" xr:uid="{00000000-0006-0000-0100-00001B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24" authorId="1" shapeId="0" xr:uid="{00000000-0006-0000-0100-00001C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25" authorId="1" shapeId="0" xr:uid="{00000000-0006-0000-0100-00001D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26" authorId="1" shapeId="0" xr:uid="{00000000-0006-0000-0100-00001E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27" authorId="1" shapeId="0" xr:uid="{00000000-0006-0000-0100-00001F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28" authorId="1" shapeId="0" xr:uid="{00000000-0006-0000-0100-000020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29" authorId="1" shapeId="0" xr:uid="{00000000-0006-0000-0100-000021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0" authorId="1" shapeId="0" xr:uid="{00000000-0006-0000-0100-000022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1" authorId="1" shapeId="0" xr:uid="{00000000-0006-0000-0100-000023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2" authorId="1" shapeId="0" xr:uid="{00000000-0006-0000-0100-000024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3" authorId="1" shapeId="0" xr:uid="{00000000-0006-0000-0100-000025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4" authorId="1" shapeId="0" xr:uid="{00000000-0006-0000-0100-000026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5" authorId="1" shapeId="0" xr:uid="{00000000-0006-0000-0100-000027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6" authorId="1" shapeId="0" xr:uid="{00000000-0006-0000-0100-000028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7" authorId="1" shapeId="0" xr:uid="{00000000-0006-0000-0100-000029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8" authorId="1" shapeId="0" xr:uid="{00000000-0006-0000-0100-00002A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9" authorId="1" shapeId="0" xr:uid="{00000000-0006-0000-0100-00002B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" authorId="1" shapeId="0" xr:uid="{00000000-0006-0000-0100-00002C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1" authorId="1" shapeId="0" xr:uid="{00000000-0006-0000-0100-00002D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2" authorId="1" shapeId="0" xr:uid="{00000000-0006-0000-0100-00002E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3" authorId="1" shapeId="0" xr:uid="{00000000-0006-0000-0100-00002F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4" authorId="1" shapeId="0" xr:uid="{00000000-0006-0000-0100-000030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5" authorId="1" shapeId="0" xr:uid="{00000000-0006-0000-0100-000031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6" authorId="1" shapeId="0" xr:uid="{00000000-0006-0000-0100-000032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7" authorId="1" shapeId="0" xr:uid="{00000000-0006-0000-0100-000033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8" authorId="1" shapeId="0" xr:uid="{00000000-0006-0000-0100-000034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9" authorId="1" shapeId="0" xr:uid="{00000000-0006-0000-0100-000035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50" authorId="1" shapeId="0" xr:uid="{00000000-0006-0000-0100-000036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51" authorId="1" shapeId="0" xr:uid="{00000000-0006-0000-0100-000037000000}">
      <text>
        <r>
          <rPr>
            <b/>
            <sz val="9"/>
            <color indexed="81"/>
            <rFont val="Segoe UI"/>
            <family val="2"/>
          </rPr>
          <t>Bitte Paaren gleiche Nummer geben
1 - 24
selbe Zahl nur 2x!!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<sst xmlns="http://schemas.openxmlformats.org/spreadsheetml/2006/main" count="267" uniqueCount="109">
  <si>
    <t>m</t>
  </si>
  <si>
    <t>ja</t>
  </si>
  <si>
    <t>w</t>
  </si>
  <si>
    <t>Name</t>
  </si>
  <si>
    <t>Vorname</t>
  </si>
  <si>
    <t>Geb. datum</t>
  </si>
  <si>
    <t xml:space="preserve">Startgebühr </t>
  </si>
  <si>
    <t xml:space="preserve">Namen der Juroren </t>
  </si>
  <si>
    <t>Überweisung auf folgendes Konto:</t>
  </si>
  <si>
    <t>Kleingruppe</t>
  </si>
  <si>
    <t>Großgruppe</t>
  </si>
  <si>
    <t xml:space="preserve"> </t>
  </si>
  <si>
    <t>Kürname</t>
  </si>
  <si>
    <t>Paarkür</t>
  </si>
  <si>
    <t>Einzelkür</t>
  </si>
  <si>
    <t>Geschlecht</t>
  </si>
  <si>
    <t>Spalte1</t>
  </si>
  <si>
    <t>Startgebühr</t>
  </si>
  <si>
    <t>n</t>
  </si>
  <si>
    <t>Wettkampfdatum</t>
  </si>
  <si>
    <t>Kür Nr.</t>
  </si>
  <si>
    <t>LfNr</t>
  </si>
  <si>
    <t>KG1</t>
  </si>
  <si>
    <t>KG2</t>
  </si>
  <si>
    <t>Vereinskürzel</t>
  </si>
  <si>
    <t>Anmeldung</t>
  </si>
  <si>
    <t>Verein</t>
  </si>
  <si>
    <t>Ansprechpartner</t>
  </si>
  <si>
    <t>Straße</t>
  </si>
  <si>
    <t>Postleitzahl</t>
  </si>
  <si>
    <t>Wohnort</t>
  </si>
  <si>
    <t>email</t>
  </si>
  <si>
    <t>Telefon</t>
  </si>
  <si>
    <t>Handy</t>
  </si>
  <si>
    <t xml:space="preserve">Startgebühr: </t>
  </si>
  <si>
    <t>Meldeschluss:</t>
  </si>
  <si>
    <t>Meldeadresse:</t>
  </si>
  <si>
    <t>BDR- Mitglied</t>
  </si>
  <si>
    <t>Nichtmitglied</t>
  </si>
  <si>
    <t>KG3</t>
  </si>
  <si>
    <t>GG1</t>
  </si>
  <si>
    <t>GG2</t>
  </si>
  <si>
    <t>GG3</t>
  </si>
  <si>
    <t>Ergebnis</t>
  </si>
  <si>
    <t>Einzelküren weiblich</t>
  </si>
  <si>
    <t>Einzelküren männlich</t>
  </si>
  <si>
    <t>Fahrer</t>
  </si>
  <si>
    <t>Alter</t>
  </si>
  <si>
    <t>BDR</t>
  </si>
  <si>
    <t>20 €</t>
  </si>
  <si>
    <t>8 €</t>
  </si>
  <si>
    <t>Kleingruppen</t>
  </si>
  <si>
    <t>Name:</t>
  </si>
  <si>
    <t>lf.Nr.</t>
  </si>
  <si>
    <t>Ersatz</t>
  </si>
  <si>
    <t>KG4</t>
  </si>
  <si>
    <t>Kür</t>
  </si>
  <si>
    <t>GK</t>
  </si>
  <si>
    <t>Alter am Wettkampftag</t>
  </si>
  <si>
    <t>Ek-Kürname</t>
  </si>
  <si>
    <t>lf.Nr. Anmeldung</t>
  </si>
  <si>
    <t>Kreissparkasse München Starnberg Ebersberg</t>
  </si>
  <si>
    <t>TSV Gilching-Argelsried, Abteilung Einrad</t>
  </si>
  <si>
    <t>Der Verein stellt laut Ausschreibung folgende Anzahl Juroren:</t>
  </si>
  <si>
    <t>1.</t>
  </si>
  <si>
    <t>2.</t>
  </si>
  <si>
    <t>3.</t>
  </si>
  <si>
    <t>4.</t>
  </si>
  <si>
    <t>5.</t>
  </si>
  <si>
    <t>&lt;5</t>
  </si>
  <si>
    <t>&lt;11</t>
  </si>
  <si>
    <t>&lt;21</t>
  </si>
  <si>
    <t>&lt;30</t>
  </si>
  <si>
    <t>Jurorenanzahl:</t>
  </si>
  <si>
    <t>Kontakt:</t>
  </si>
  <si>
    <t>Doris Riedlberger</t>
  </si>
  <si>
    <t>d.riedlberger@einrad-gilching.de</t>
  </si>
  <si>
    <t>bitte graue Felder ausfüllen</t>
  </si>
  <si>
    <t>TSV Gilching-Argelsried</t>
  </si>
  <si>
    <t xml:space="preserve">IBAN     DE80 7025 0150 0017 0386 96 </t>
  </si>
  <si>
    <t>Pk-Kürname</t>
  </si>
  <si>
    <t>Gruppenkürnamen bitte im dazugehörigen Blatt ergänzen.</t>
  </si>
  <si>
    <t>Alle Eingaben in Blatt "Meldung".</t>
  </si>
  <si>
    <t>GG4</t>
  </si>
  <si>
    <t>GG5</t>
  </si>
  <si>
    <t>GG6</t>
  </si>
  <si>
    <t>GG7</t>
  </si>
  <si>
    <t>GG8</t>
  </si>
  <si>
    <t>GG9</t>
  </si>
  <si>
    <t>GG10</t>
  </si>
  <si>
    <t>GG11</t>
  </si>
  <si>
    <t>GG12</t>
  </si>
  <si>
    <t>GG13</t>
  </si>
  <si>
    <t>GG14</t>
  </si>
  <si>
    <t>GG15</t>
  </si>
  <si>
    <t>KG5</t>
  </si>
  <si>
    <t>KG6</t>
  </si>
  <si>
    <t>KG7</t>
  </si>
  <si>
    <t>KG8</t>
  </si>
  <si>
    <t>KG9</t>
  </si>
  <si>
    <t>KG10</t>
  </si>
  <si>
    <t>KG11</t>
  </si>
  <si>
    <t>KG12</t>
  </si>
  <si>
    <t>KG13</t>
  </si>
  <si>
    <t>KG14</t>
  </si>
  <si>
    <t>KG15</t>
  </si>
  <si>
    <t>AnmeldungSDM2020@einrad-gilching.de</t>
  </si>
  <si>
    <t>Verwendungszweck: SDM 2020 Startgebühr &gt;Vereinsname&lt;</t>
  </si>
  <si>
    <t>Süddeutsche Meisterschaft Freestyle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</si>
</sst>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0\ &quot;€&quot;"/>
    <numFmt numFmtId="165" formatCode="d/mm;@"/>
    <numFmt numFmtId="166" formatCode="&quot; - &quot;dd/mm/yyyy"/>
    <numFmt numFmtId="167" formatCode="#,##0\ &quot;€&quot;"/>
    <numFmt numFmtId="168" formatCode="&quot;- &quot;dd/mm/yyyy"/>
    <numFmt numFmtId="169" formatCode="dd/mm;@"/>
  </numFmts>
  <fonts count="47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sz val="9"/>
      <color indexed="8"/>
      <name val="Tahoma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color indexed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 Unicode MS"/>
      <family val="2"/>
    </font>
    <font>
      <b/>
      <sz val="11"/>
      <color theme="0"/>
      <name val="Calibri"/>
      <family val="2"/>
      <scheme val="minor"/>
    </font>
    <font>
      <b/>
      <u/>
      <sz val="22"/>
      <name val="Arial"/>
      <family val="2"/>
    </font>
    <font>
      <sz val="14"/>
      <color theme="1"/>
      <name val="Calibri"/>
      <family val="2"/>
      <scheme val="minor"/>
    </font>
    <font>
      <b/>
      <sz val="26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2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indexed="12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6"/>
      <name val="Calibri"/>
      <family val="2"/>
      <scheme val="minor"/>
    </font>
    <font>
      <u/>
      <sz val="10"/>
      <name val="Calibri"/>
      <family val="2"/>
      <scheme val="minor"/>
    </font>
    <font>
      <u/>
      <sz val="14"/>
      <name val="Calibri"/>
      <family val="2"/>
      <scheme val="minor"/>
    </font>
    <font>
      <b/>
      <u/>
      <sz val="12"/>
      <name val="Calibri"/>
      <family val="2"/>
      <scheme val="minor"/>
    </font>
    <font>
      <b/>
      <sz val="20"/>
      <name val="Calibri"/>
      <family val="2"/>
      <scheme val="minor"/>
    </font>
    <font>
      <u/>
      <sz val="12"/>
      <name val="Calibri"/>
      <family val="2"/>
      <scheme val="minor"/>
    </font>
    <font>
      <b/>
      <sz val="18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2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22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DD71"/>
        <bgColor indexed="64"/>
      </patternFill>
    </fill>
    <fill>
      <patternFill patternType="solid">
        <fgColor rgb="FFB6FF9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FFF5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22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EBAB"/>
        <bgColor indexed="64"/>
      </patternFill>
    </fill>
    <fill>
      <patternFill patternType="solid">
        <fgColor rgb="FFFFEBAB"/>
        <bgColor indexed="22"/>
      </patternFill>
    </fill>
    <fill>
      <patternFill patternType="solid">
        <fgColor rgb="FFD5FBA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31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</fills>
  <borders count="71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/>
      <bottom style="thin">
        <color theme="5" tint="-0.24994659260841701"/>
      </bottom>
      <diagonal/>
    </border>
    <border>
      <left style="thin">
        <color theme="5" tint="-0.2499465926084170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ck">
        <color theme="0" tint="-0.499984740745262"/>
      </left>
      <right style="thin">
        <color auto="1"/>
      </right>
      <top/>
      <bottom style="thin">
        <color auto="1"/>
      </bottom>
      <diagonal/>
    </border>
    <border>
      <left style="thick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 tint="-0.499984740745262"/>
      </left>
      <right style="thin">
        <color indexed="64"/>
      </right>
      <top style="thin">
        <color indexed="64"/>
      </top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n">
        <color theme="5" tint="-0.24994659260841701"/>
      </right>
      <top/>
      <bottom style="thin">
        <color theme="5" tint="-0.24994659260841701"/>
      </bottom>
      <diagonal/>
    </border>
    <border>
      <left style="medium">
        <color theme="1" tint="0.34998626667073579"/>
      </left>
      <right style="thin">
        <color theme="5" tint="-0.24994659260841701"/>
      </right>
      <top style="medium">
        <color theme="1" tint="0.34998626667073579"/>
      </top>
      <bottom style="thin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1" tint="0.34998626667073579"/>
      </top>
      <bottom style="thin">
        <color theme="5" tint="-0.24994659260841701"/>
      </bottom>
      <diagonal/>
    </border>
    <border>
      <left style="thin">
        <color theme="5" tint="-0.24994659260841701"/>
      </left>
      <right style="medium">
        <color theme="1" tint="0.34998626667073579"/>
      </right>
      <top style="medium">
        <color theme="1" tint="0.34998626667073579"/>
      </top>
      <bottom style="thin">
        <color theme="5" tint="-0.24994659260841701"/>
      </bottom>
      <diagonal/>
    </border>
    <border>
      <left style="medium">
        <color theme="1" tint="0.34998626667073579"/>
      </left>
      <right/>
      <top/>
      <bottom/>
      <diagonal/>
    </border>
    <border>
      <left style="thin">
        <color theme="0"/>
      </left>
      <right style="medium">
        <color theme="1" tint="0.34998626667073579"/>
      </right>
      <top/>
      <bottom style="medium">
        <color theme="1" tint="0.34998626667073579"/>
      </bottom>
      <diagonal/>
    </border>
    <border>
      <left style="medium">
        <color theme="1" tint="0.34998626667073579"/>
      </left>
      <right style="thin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n">
        <color theme="0"/>
      </left>
      <right style="thin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theme="0" tint="-0.499984740745262"/>
      </right>
      <top/>
      <bottom/>
      <diagonal/>
    </border>
    <border>
      <left/>
      <right style="thick">
        <color theme="0" tint="-0.499984740745262"/>
      </right>
      <top/>
      <bottom/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n">
        <color indexed="64"/>
      </bottom>
      <diagonal/>
    </border>
    <border>
      <left/>
      <right style="thin">
        <color theme="5" tint="-0.24994659260841701"/>
      </right>
      <top/>
      <bottom/>
      <diagonal/>
    </border>
    <border>
      <left style="thick">
        <color theme="0" tint="-0.499984740745262"/>
      </left>
      <right style="thin">
        <color auto="1"/>
      </right>
      <top/>
      <bottom/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 style="thick">
        <color theme="0" tint="-0.499984740745262"/>
      </left>
      <right/>
      <top style="medium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theme="1" tint="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indexed="64"/>
      </left>
      <right/>
      <top/>
      <bottom style="thick">
        <color theme="0" tint="-0.499984740745262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0" fontId="7" fillId="0" borderId="0"/>
    <xf numFmtId="0" fontId="7" fillId="8" borderId="15">
      <alignment horizontal="center" vertical="center"/>
      <protection locked="0"/>
    </xf>
  </cellStyleXfs>
  <cellXfs count="330">
    <xf numFmtId="0" fontId="0" fillId="0" borderId="0" xfId="0"/>
    <xf numFmtId="0" fontId="4" fillId="0" borderId="0" xfId="0" applyFont="1"/>
    <xf numFmtId="0" fontId="0" fillId="0" borderId="0" xfId="0" applyFont="1" applyFill="1" applyAlignment="1" applyProtection="1">
      <alignment horizontal="center" vertical="center"/>
    </xf>
    <xf numFmtId="0" fontId="0" fillId="0" borderId="0" xfId="0" applyFont="1" applyFill="1" applyProtection="1"/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Alignment="1" applyProtection="1">
      <alignment horizontal="center"/>
    </xf>
    <xf numFmtId="0" fontId="0" fillId="0" borderId="0" xfId="0" applyFont="1" applyFill="1" applyAlignment="1" applyProtection="1">
      <alignment horizontal="left" vertical="center"/>
      <protection locked="0"/>
    </xf>
    <xf numFmtId="0" fontId="9" fillId="0" borderId="0" xfId="2" applyFont="1"/>
    <xf numFmtId="0" fontId="7" fillId="0" borderId="0" xfId="0" applyFont="1"/>
    <xf numFmtId="0" fontId="8" fillId="0" borderId="0" xfId="2" applyFont="1" applyBorder="1" applyAlignment="1">
      <alignment horizontal="center"/>
    </xf>
    <xf numFmtId="0" fontId="10" fillId="0" borderId="0" xfId="2" applyFont="1"/>
    <xf numFmtId="0" fontId="12" fillId="0" borderId="0" xfId="2" applyFont="1"/>
    <xf numFmtId="0" fontId="12" fillId="0" borderId="0" xfId="2" applyFont="1" applyFill="1" applyBorder="1" applyProtection="1"/>
    <xf numFmtId="0" fontId="12" fillId="0" borderId="0" xfId="2" applyFont="1" applyFill="1" applyBorder="1" applyAlignment="1" applyProtection="1">
      <alignment horizontal="left"/>
    </xf>
    <xf numFmtId="0" fontId="9" fillId="0" borderId="0" xfId="2" applyFont="1" applyFill="1"/>
    <xf numFmtId="0" fontId="12" fillId="0" borderId="0" xfId="2" applyFont="1" applyFill="1"/>
    <xf numFmtId="0" fontId="15" fillId="0" borderId="8" xfId="2" applyFont="1" applyFill="1" applyBorder="1" applyAlignment="1" applyProtection="1"/>
    <xf numFmtId="0" fontId="8" fillId="0" borderId="0" xfId="2" applyFont="1" applyFill="1" applyBorder="1" applyAlignment="1">
      <alignment horizontal="center"/>
    </xf>
    <xf numFmtId="0" fontId="8" fillId="0" borderId="0" xfId="2" applyFont="1" applyFill="1" applyBorder="1" applyAlignment="1">
      <alignment horizontal="left"/>
    </xf>
    <xf numFmtId="0" fontId="0" fillId="0" borderId="0" xfId="0" applyAlignment="1">
      <alignment vertical="center"/>
    </xf>
    <xf numFmtId="0" fontId="2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2" applyFont="1" applyAlignment="1">
      <alignment vertical="center"/>
    </xf>
    <xf numFmtId="0" fontId="23" fillId="0" borderId="0" xfId="0" applyFont="1" applyAlignment="1">
      <alignment vertical="center"/>
    </xf>
    <xf numFmtId="165" fontId="24" fillId="0" borderId="0" xfId="2" applyNumberFormat="1" applyFont="1" applyAlignment="1">
      <alignment vertical="center"/>
    </xf>
    <xf numFmtId="166" fontId="24" fillId="0" borderId="0" xfId="2" applyNumberFormat="1" applyFont="1" applyAlignment="1">
      <alignment horizontal="left" vertical="center"/>
    </xf>
    <xf numFmtId="49" fontId="9" fillId="0" borderId="0" xfId="2" applyNumberFormat="1" applyFont="1" applyAlignment="1">
      <alignment horizontal="left" vertical="center"/>
    </xf>
    <xf numFmtId="0" fontId="12" fillId="0" borderId="0" xfId="2" applyFont="1" applyFill="1" applyBorder="1" applyAlignment="1">
      <alignment vertical="center"/>
    </xf>
    <xf numFmtId="0" fontId="12" fillId="0" borderId="0" xfId="2" applyFont="1" applyAlignment="1">
      <alignment vertical="center"/>
    </xf>
    <xf numFmtId="0" fontId="4" fillId="0" borderId="0" xfId="0" applyFont="1" applyAlignment="1"/>
    <xf numFmtId="0" fontId="6" fillId="0" borderId="0" xfId="0" applyFont="1" applyAlignment="1">
      <alignment horizontal="left" vertical="center"/>
    </xf>
    <xf numFmtId="0" fontId="0" fillId="0" borderId="0" xfId="0" applyAlignment="1"/>
    <xf numFmtId="167" fontId="0" fillId="0" borderId="0" xfId="0" applyNumberFormat="1" applyFont="1" applyFill="1" applyAlignment="1" applyProtection="1">
      <alignment horizontal="center" vertical="center"/>
    </xf>
    <xf numFmtId="0" fontId="25" fillId="0" borderId="0" xfId="0" applyFont="1"/>
    <xf numFmtId="0" fontId="25" fillId="0" borderId="0" xfId="0" applyFont="1" applyFill="1"/>
    <xf numFmtId="0" fontId="13" fillId="0" borderId="0" xfId="0" applyFont="1"/>
    <xf numFmtId="0" fontId="0" fillId="0" borderId="19" xfId="0" applyFont="1" applyFill="1" applyBorder="1" applyAlignment="1" applyProtection="1">
      <alignment horizontal="center" vertical="center"/>
    </xf>
    <xf numFmtId="167" fontId="0" fillId="0" borderId="19" xfId="0" applyNumberFormat="1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/>
    </xf>
    <xf numFmtId="0" fontId="15" fillId="10" borderId="8" xfId="2" applyFont="1" applyFill="1" applyBorder="1" applyAlignment="1" applyProtection="1">
      <alignment vertical="center"/>
    </xf>
    <xf numFmtId="0" fontId="13" fillId="12" borderId="28" xfId="0" applyNumberFormat="1" applyFont="1" applyFill="1" applyBorder="1" applyAlignment="1" applyProtection="1">
      <alignment horizontal="center" vertical="center"/>
    </xf>
    <xf numFmtId="0" fontId="0" fillId="7" borderId="20" xfId="0" applyFont="1" applyFill="1" applyBorder="1" applyProtection="1"/>
    <xf numFmtId="0" fontId="13" fillId="0" borderId="0" xfId="0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left" vertical="center"/>
      <protection locked="0"/>
    </xf>
    <xf numFmtId="14" fontId="0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Font="1" applyFill="1" applyBorder="1" applyAlignment="1" applyProtection="1">
      <alignment horizontal="center" vertical="center"/>
      <protection locked="0"/>
    </xf>
    <xf numFmtId="0" fontId="26" fillId="0" borderId="0" xfId="0" applyFont="1" applyFill="1" applyBorder="1" applyAlignment="1" applyProtection="1">
      <alignment horizontal="center" wrapText="1"/>
    </xf>
    <xf numFmtId="0" fontId="26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26" fillId="0" borderId="0" xfId="0" applyFont="1" applyFill="1" applyBorder="1" applyAlignment="1" applyProtection="1">
      <alignment horizontal="left"/>
    </xf>
    <xf numFmtId="0" fontId="13" fillId="7" borderId="0" xfId="0" applyFont="1" applyFill="1" applyBorder="1" applyAlignment="1" applyProtection="1">
      <alignment horizontal="center" vertical="center" wrapText="1"/>
    </xf>
    <xf numFmtId="0" fontId="0" fillId="13" borderId="11" xfId="0" applyFont="1" applyFill="1" applyBorder="1" applyAlignment="1" applyProtection="1">
      <alignment horizontal="center" vertical="center"/>
    </xf>
    <xf numFmtId="0" fontId="13" fillId="3" borderId="32" xfId="0" applyFont="1" applyFill="1" applyBorder="1" applyAlignment="1" applyProtection="1">
      <alignment horizontal="center" vertical="center" textRotation="90" wrapText="1"/>
    </xf>
    <xf numFmtId="0" fontId="13" fillId="4" borderId="33" xfId="0" applyFont="1" applyFill="1" applyBorder="1" applyAlignment="1" applyProtection="1">
      <alignment horizontal="center" vertical="center"/>
    </xf>
    <xf numFmtId="0" fontId="14" fillId="4" borderId="34" xfId="0" applyFont="1" applyFill="1" applyBorder="1" applyAlignment="1" applyProtection="1">
      <alignment horizontal="center" vertical="center" wrapText="1"/>
    </xf>
    <xf numFmtId="0" fontId="14" fillId="4" borderId="34" xfId="0" applyFont="1" applyFill="1" applyBorder="1" applyAlignment="1" applyProtection="1">
      <alignment horizontal="center" vertical="center" textRotation="90" wrapText="1"/>
    </xf>
    <xf numFmtId="0" fontId="14" fillId="4" borderId="35" xfId="0" applyFont="1" applyFill="1" applyBorder="1" applyAlignment="1" applyProtection="1">
      <alignment horizontal="center" vertical="center" textRotation="90" wrapText="1"/>
    </xf>
    <xf numFmtId="0" fontId="0" fillId="0" borderId="36" xfId="0" applyNumberFormat="1" applyFont="1" applyFill="1" applyBorder="1" applyProtection="1"/>
    <xf numFmtId="0" fontId="0" fillId="0" borderId="38" xfId="0" applyFont="1" applyFill="1" applyBorder="1" applyProtection="1"/>
    <xf numFmtId="0" fontId="11" fillId="0" borderId="0" xfId="2" applyFont="1" applyFill="1" applyBorder="1" applyAlignment="1">
      <alignment horizontal="center" vertical="center"/>
    </xf>
    <xf numFmtId="0" fontId="16" fillId="12" borderId="41" xfId="0" applyNumberFormat="1" applyFont="1" applyFill="1" applyBorder="1" applyAlignment="1" applyProtection="1">
      <alignment horizontal="center" vertical="center" wrapText="1"/>
    </xf>
    <xf numFmtId="0" fontId="13" fillId="12" borderId="41" xfId="0" applyNumberFormat="1" applyFont="1" applyFill="1" applyBorder="1" applyAlignment="1" applyProtection="1">
      <alignment horizontal="center" vertical="center"/>
    </xf>
    <xf numFmtId="0" fontId="11" fillId="12" borderId="42" xfId="0" applyNumberFormat="1" applyFont="1" applyFill="1" applyBorder="1" applyAlignment="1" applyProtection="1">
      <alignment horizontal="center" vertical="center" wrapText="1"/>
    </xf>
    <xf numFmtId="0" fontId="15" fillId="10" borderId="45" xfId="2" applyFont="1" applyFill="1" applyBorder="1" applyAlignment="1" applyProtection="1">
      <alignment vertical="center"/>
    </xf>
    <xf numFmtId="0" fontId="0" fillId="7" borderId="0" xfId="0" applyFont="1" applyFill="1" applyBorder="1" applyProtection="1"/>
    <xf numFmtId="0" fontId="0" fillId="0" borderId="46" xfId="0" applyFont="1" applyFill="1" applyBorder="1" applyAlignment="1" applyProtection="1">
      <alignment horizontal="center" vertical="center"/>
      <protection locked="0"/>
    </xf>
    <xf numFmtId="0" fontId="27" fillId="4" borderId="34" xfId="0" applyFont="1" applyFill="1" applyBorder="1" applyAlignment="1" applyProtection="1">
      <alignment horizontal="center" vertical="center" textRotation="90" wrapText="1"/>
    </xf>
    <xf numFmtId="0" fontId="0" fillId="6" borderId="15" xfId="0" applyFont="1" applyFill="1" applyBorder="1" applyAlignment="1" applyProtection="1">
      <alignment horizontal="center" vertical="center"/>
      <protection locked="0"/>
    </xf>
    <xf numFmtId="0" fontId="0" fillId="9" borderId="15" xfId="0" applyFont="1" applyFill="1" applyBorder="1" applyAlignment="1" applyProtection="1">
      <alignment horizontal="center" vertical="center"/>
      <protection locked="0"/>
    </xf>
    <xf numFmtId="167" fontId="5" fillId="4" borderId="15" xfId="0" applyNumberFormat="1" applyFont="1" applyFill="1" applyBorder="1" applyAlignment="1" applyProtection="1">
      <alignment horizontal="right" vertical="center" indent="1"/>
    </xf>
    <xf numFmtId="0" fontId="13" fillId="12" borderId="47" xfId="0" applyNumberFormat="1" applyFont="1" applyFill="1" applyBorder="1" applyAlignment="1" applyProtection="1">
      <alignment horizontal="center" vertical="center"/>
    </xf>
    <xf numFmtId="0" fontId="15" fillId="10" borderId="48" xfId="2" applyFont="1" applyFill="1" applyBorder="1" applyAlignment="1" applyProtection="1">
      <alignment vertical="center"/>
    </xf>
    <xf numFmtId="0" fontId="17" fillId="10" borderId="25" xfId="2" applyFont="1" applyFill="1" applyBorder="1" applyAlignment="1" applyProtection="1">
      <alignment vertical="center"/>
    </xf>
    <xf numFmtId="0" fontId="7" fillId="0" borderId="0" xfId="0" applyFont="1" applyProtection="1"/>
    <xf numFmtId="0" fontId="8" fillId="0" borderId="0" xfId="2" applyFont="1" applyFill="1" applyBorder="1" applyAlignment="1" applyProtection="1">
      <alignment horizontal="center"/>
    </xf>
    <xf numFmtId="0" fontId="8" fillId="0" borderId="0" xfId="2" applyFont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Protection="1"/>
    <xf numFmtId="0" fontId="10" fillId="0" borderId="0" xfId="2" applyFont="1" applyProtection="1"/>
    <xf numFmtId="0" fontId="11" fillId="0" borderId="0" xfId="2" applyFont="1" applyFill="1" applyProtection="1"/>
    <xf numFmtId="0" fontId="11" fillId="0" borderId="0" xfId="2" applyFont="1" applyProtection="1"/>
    <xf numFmtId="0" fontId="15" fillId="10" borderId="23" xfId="2" applyFont="1" applyFill="1" applyBorder="1" applyAlignment="1" applyProtection="1">
      <alignment vertical="center"/>
    </xf>
    <xf numFmtId="0" fontId="11" fillId="10" borderId="24" xfId="2" applyFont="1" applyFill="1" applyBorder="1" applyProtection="1"/>
    <xf numFmtId="0" fontId="7" fillId="0" borderId="0" xfId="0" applyFont="1" applyAlignment="1" applyProtection="1">
      <alignment vertical="center"/>
    </xf>
    <xf numFmtId="0" fontId="8" fillId="10" borderId="26" xfId="2" applyFont="1" applyFill="1" applyBorder="1" applyAlignment="1" applyProtection="1">
      <alignment vertical="center"/>
    </xf>
    <xf numFmtId="0" fontId="12" fillId="0" borderId="0" xfId="2" applyFont="1" applyFill="1" applyAlignment="1" applyProtection="1">
      <alignment vertical="center"/>
    </xf>
    <xf numFmtId="0" fontId="8" fillId="10" borderId="23" xfId="2" applyFont="1" applyFill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12" fillId="0" borderId="0" xfId="2" applyFont="1" applyProtection="1"/>
    <xf numFmtId="0" fontId="4" fillId="0" borderId="0" xfId="0" applyFont="1" applyProtection="1"/>
    <xf numFmtId="0" fontId="13" fillId="0" borderId="29" xfId="2" applyFont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center" vertical="center"/>
    </xf>
    <xf numFmtId="0" fontId="13" fillId="0" borderId="0" xfId="2" applyFont="1" applyFill="1" applyBorder="1" applyAlignment="1" applyProtection="1">
      <alignment horizontal="left" vertical="center"/>
    </xf>
    <xf numFmtId="1" fontId="13" fillId="0" borderId="43" xfId="2" applyNumberFormat="1" applyFont="1" applyFill="1" applyBorder="1" applyAlignment="1" applyProtection="1">
      <alignment horizontal="center" vertical="center"/>
    </xf>
    <xf numFmtId="0" fontId="13" fillId="0" borderId="30" xfId="2" applyFont="1" applyBorder="1" applyAlignment="1" applyProtection="1">
      <alignment horizontal="center" vertical="center"/>
    </xf>
    <xf numFmtId="0" fontId="18" fillId="0" borderId="31" xfId="0" applyFont="1" applyBorder="1" applyAlignment="1" applyProtection="1">
      <alignment horizontal="center" vertical="center"/>
    </xf>
    <xf numFmtId="0" fontId="13" fillId="0" borderId="31" xfId="2" applyFont="1" applyFill="1" applyBorder="1" applyAlignment="1" applyProtection="1">
      <alignment horizontal="left" vertical="center"/>
    </xf>
    <xf numFmtId="1" fontId="13" fillId="0" borderId="44" xfId="2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Protection="1"/>
    <xf numFmtId="0" fontId="4" fillId="0" borderId="0" xfId="0" applyFont="1" applyFill="1" applyBorder="1" applyProtection="1"/>
    <xf numFmtId="14" fontId="12" fillId="0" borderId="0" xfId="2" applyNumberFormat="1" applyFont="1" applyFill="1" applyBorder="1" applyProtection="1"/>
    <xf numFmtId="0" fontId="8" fillId="0" borderId="0" xfId="2" applyFont="1" applyFill="1" applyBorder="1" applyAlignment="1" applyProtection="1">
      <alignment horizontal="left"/>
    </xf>
    <xf numFmtId="0" fontId="12" fillId="0" borderId="0" xfId="2" applyFont="1" applyFill="1" applyProtection="1"/>
    <xf numFmtId="1" fontId="13" fillId="0" borderId="0" xfId="2" applyNumberFormat="1" applyFont="1" applyFill="1" applyBorder="1" applyAlignment="1" applyProtection="1">
      <alignment horizontal="center" vertical="center"/>
    </xf>
    <xf numFmtId="0" fontId="13" fillId="0" borderId="0" xfId="2" applyNumberFormat="1" applyFont="1" applyFill="1" applyBorder="1" applyAlignment="1" applyProtection="1">
      <alignment horizontal="left" vertical="center"/>
    </xf>
    <xf numFmtId="0" fontId="12" fillId="0" borderId="0" xfId="2" applyFont="1" applyFill="1" applyBorder="1" applyAlignment="1" applyProtection="1"/>
    <xf numFmtId="0" fontId="15" fillId="0" borderId="0" xfId="2" applyFont="1" applyFill="1" applyBorder="1" applyAlignment="1" applyProtection="1"/>
    <xf numFmtId="0" fontId="15" fillId="0" borderId="0" xfId="2" applyFont="1" applyFill="1" applyBorder="1" applyAlignment="1" applyProtection="1">
      <alignment horizontal="center" vertical="center"/>
    </xf>
    <xf numFmtId="0" fontId="13" fillId="15" borderId="6" xfId="2" applyFont="1" applyFill="1" applyBorder="1" applyAlignment="1" applyProtection="1">
      <alignment horizontal="center" vertical="center"/>
    </xf>
    <xf numFmtId="0" fontId="13" fillId="15" borderId="41" xfId="2" applyFont="1" applyFill="1" applyBorder="1" applyAlignment="1" applyProtection="1">
      <alignment horizontal="center" vertical="center"/>
    </xf>
    <xf numFmtId="0" fontId="11" fillId="15" borderId="41" xfId="2" applyFont="1" applyFill="1" applyBorder="1" applyAlignment="1" applyProtection="1">
      <alignment horizontal="center" vertical="center" wrapText="1"/>
    </xf>
    <xf numFmtId="0" fontId="16" fillId="15" borderId="6" xfId="2" applyFont="1" applyFill="1" applyBorder="1" applyAlignment="1" applyProtection="1">
      <alignment horizontal="center" vertical="center" wrapText="1"/>
    </xf>
    <xf numFmtId="0" fontId="11" fillId="15" borderId="6" xfId="2" applyFont="1" applyFill="1" applyBorder="1" applyAlignment="1" applyProtection="1">
      <alignment horizontal="center" vertical="center" wrapText="1"/>
    </xf>
    <xf numFmtId="0" fontId="12" fillId="0" borderId="0" xfId="2" applyFont="1" applyFill="1" applyBorder="1" applyAlignment="1" applyProtection="1">
      <alignment horizontal="center"/>
    </xf>
    <xf numFmtId="0" fontId="0" fillId="16" borderId="15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25" fillId="0" borderId="0" xfId="0" applyFont="1" applyFill="1" applyAlignment="1">
      <alignment vertical="center"/>
    </xf>
    <xf numFmtId="0" fontId="7" fillId="0" borderId="0" xfId="0" applyFont="1" applyAlignment="1">
      <alignment horizontal="center" vertical="center"/>
    </xf>
    <xf numFmtId="0" fontId="12" fillId="0" borderId="0" xfId="2" applyFont="1" applyFill="1" applyAlignment="1">
      <alignment horizontal="center" vertical="center"/>
    </xf>
    <xf numFmtId="0" fontId="0" fillId="14" borderId="54" xfId="0" applyFill="1" applyBorder="1" applyAlignment="1" applyProtection="1">
      <alignment horizontal="center" vertical="center"/>
    </xf>
    <xf numFmtId="0" fontId="13" fillId="17" borderId="52" xfId="0" applyFont="1" applyFill="1" applyBorder="1" applyAlignment="1">
      <alignment horizontal="center" vertical="center"/>
    </xf>
    <xf numFmtId="0" fontId="0" fillId="17" borderId="55" xfId="0" applyFill="1" applyBorder="1" applyAlignment="1">
      <alignment horizontal="center" vertical="center"/>
    </xf>
    <xf numFmtId="0" fontId="13" fillId="17" borderId="55" xfId="0" applyFont="1" applyFill="1" applyBorder="1" applyAlignment="1" applyProtection="1">
      <alignment vertical="center"/>
    </xf>
    <xf numFmtId="0" fontId="13" fillId="17" borderId="56" xfId="0" applyFont="1" applyFill="1" applyBorder="1" applyAlignment="1" applyProtection="1">
      <alignment vertical="center"/>
    </xf>
    <xf numFmtId="0" fontId="0" fillId="17" borderId="17" xfId="0" applyFont="1" applyFill="1" applyBorder="1" applyAlignment="1">
      <alignment vertical="center"/>
    </xf>
    <xf numFmtId="0" fontId="0" fillId="17" borderId="57" xfId="0" applyFill="1" applyBorder="1" applyAlignment="1">
      <alignment horizontal="center" vertical="center"/>
    </xf>
    <xf numFmtId="0" fontId="13" fillId="17" borderId="57" xfId="0" applyFont="1" applyFill="1" applyBorder="1" applyAlignment="1" applyProtection="1">
      <alignment vertical="center"/>
    </xf>
    <xf numFmtId="0" fontId="13" fillId="0" borderId="53" xfId="0" applyFon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13" fillId="0" borderId="13" xfId="0" applyFont="1" applyFill="1" applyBorder="1" applyAlignment="1" applyProtection="1">
      <alignment vertical="center"/>
    </xf>
    <xf numFmtId="0" fontId="13" fillId="0" borderId="59" xfId="0" applyFont="1" applyFill="1" applyBorder="1" applyAlignment="1" applyProtection="1">
      <alignment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57" xfId="0" applyFill="1" applyBorder="1" applyAlignment="1">
      <alignment horizontal="center" vertical="center"/>
    </xf>
    <xf numFmtId="0" fontId="13" fillId="0" borderId="57" xfId="0" applyFont="1" applyFill="1" applyBorder="1" applyAlignment="1" applyProtection="1">
      <alignment vertical="center"/>
    </xf>
    <xf numFmtId="0" fontId="13" fillId="0" borderId="58" xfId="0" applyFont="1" applyFill="1" applyBorder="1" applyAlignment="1" applyProtection="1">
      <alignment vertical="center"/>
    </xf>
    <xf numFmtId="0" fontId="13" fillId="0" borderId="52" xfId="0" applyFont="1" applyFill="1" applyBorder="1" applyAlignment="1">
      <alignment horizontal="center" vertical="center"/>
    </xf>
    <xf numFmtId="0" fontId="0" fillId="0" borderId="55" xfId="0" applyFill="1" applyBorder="1" applyAlignment="1">
      <alignment horizontal="center" vertical="center"/>
    </xf>
    <xf numFmtId="0" fontId="13" fillId="0" borderId="55" xfId="0" applyFont="1" applyFill="1" applyBorder="1" applyAlignment="1" applyProtection="1">
      <alignment vertical="center"/>
    </xf>
    <xf numFmtId="0" fontId="0" fillId="0" borderId="17" xfId="0" applyFont="1" applyFill="1" applyBorder="1" applyAlignment="1">
      <alignment vertical="center"/>
    </xf>
    <xf numFmtId="0" fontId="0" fillId="17" borderId="17" xfId="0" applyFont="1" applyFill="1" applyBorder="1" applyAlignment="1">
      <alignment horizontal="center" vertical="center"/>
    </xf>
    <xf numFmtId="0" fontId="13" fillId="0" borderId="13" xfId="0" applyFont="1" applyFill="1" applyBorder="1" applyAlignment="1" applyProtection="1">
      <alignment horizontal="right" vertical="center" indent="1"/>
    </xf>
    <xf numFmtId="0" fontId="13" fillId="0" borderId="57" xfId="0" applyFont="1" applyFill="1" applyBorder="1" applyAlignment="1" applyProtection="1">
      <alignment horizontal="right" vertical="center" indent="1"/>
    </xf>
    <xf numFmtId="0" fontId="13" fillId="17" borderId="55" xfId="0" applyFont="1" applyFill="1" applyBorder="1" applyAlignment="1" applyProtection="1">
      <alignment horizontal="right" vertical="center" indent="1"/>
    </xf>
    <xf numFmtId="0" fontId="13" fillId="17" borderId="57" xfId="0" applyFont="1" applyFill="1" applyBorder="1" applyAlignment="1" applyProtection="1">
      <alignment horizontal="right" vertical="center" indent="1"/>
    </xf>
    <xf numFmtId="0" fontId="13" fillId="0" borderId="55" xfId="0" applyFont="1" applyFill="1" applyBorder="1" applyAlignment="1" applyProtection="1">
      <alignment horizontal="right" vertical="center" indent="1"/>
    </xf>
    <xf numFmtId="0" fontId="11" fillId="0" borderId="0" xfId="2" applyFont="1" applyFill="1" applyAlignment="1" applyProtection="1">
      <alignment horizontal="center" vertical="center"/>
    </xf>
    <xf numFmtId="0" fontId="13" fillId="0" borderId="8" xfId="2" applyFont="1" applyBorder="1" applyAlignment="1" applyProtection="1">
      <alignment horizontal="center" vertical="center"/>
    </xf>
    <xf numFmtId="0" fontId="13" fillId="0" borderId="51" xfId="2" applyFont="1" applyBorder="1" applyAlignment="1" applyProtection="1">
      <alignment horizontal="center" vertical="center"/>
    </xf>
    <xf numFmtId="0" fontId="24" fillId="0" borderId="0" xfId="2" applyFont="1" applyFill="1" applyBorder="1" applyAlignment="1" applyProtection="1">
      <alignment horizontal="left"/>
    </xf>
    <xf numFmtId="0" fontId="24" fillId="0" borderId="0" xfId="2" applyFont="1" applyFill="1" applyBorder="1" applyAlignment="1">
      <alignment horizontal="left"/>
    </xf>
    <xf numFmtId="0" fontId="16" fillId="15" borderId="41" xfId="2" applyFont="1" applyFill="1" applyBorder="1" applyAlignment="1" applyProtection="1">
      <alignment horizontal="center" vertical="center" wrapText="1"/>
    </xf>
    <xf numFmtId="0" fontId="28" fillId="0" borderId="0" xfId="2" applyFont="1" applyFill="1" applyAlignment="1">
      <alignment horizontal="left" vertical="center"/>
    </xf>
    <xf numFmtId="0" fontId="28" fillId="0" borderId="0" xfId="2" applyFont="1" applyFill="1" applyProtection="1"/>
    <xf numFmtId="168" fontId="29" fillId="0" borderId="0" xfId="0" applyNumberFormat="1" applyFont="1" applyAlignment="1">
      <alignment horizontal="left"/>
    </xf>
    <xf numFmtId="0" fontId="37" fillId="0" borderId="0" xfId="2" applyFont="1" applyFill="1" applyBorder="1" applyAlignment="1" applyProtection="1"/>
    <xf numFmtId="0" fontId="13" fillId="0" borderId="0" xfId="2" applyFont="1" applyFill="1" applyBorder="1" applyAlignment="1" applyProtection="1">
      <alignment horizontal="left"/>
    </xf>
    <xf numFmtId="0" fontId="11" fillId="0" borderId="0" xfId="2" applyFont="1" applyFill="1" applyBorder="1" applyAlignment="1" applyProtection="1">
      <alignment horizontal="center" vertical="center"/>
    </xf>
    <xf numFmtId="0" fontId="12" fillId="14" borderId="6" xfId="2" applyFont="1" applyFill="1" applyBorder="1" applyAlignment="1" applyProtection="1">
      <alignment horizontal="center" vertical="center"/>
    </xf>
    <xf numFmtId="0" fontId="13" fillId="0" borderId="9" xfId="2" applyFont="1" applyFill="1" applyBorder="1" applyAlignment="1" applyProtection="1">
      <alignment horizontal="center" vertical="center"/>
    </xf>
    <xf numFmtId="0" fontId="13" fillId="0" borderId="7" xfId="2" applyFont="1" applyFill="1" applyBorder="1" applyAlignment="1" applyProtection="1">
      <alignment horizontal="left" vertical="center"/>
    </xf>
    <xf numFmtId="1" fontId="13" fillId="0" borderId="7" xfId="2" applyNumberFormat="1" applyFont="1" applyFill="1" applyBorder="1" applyAlignment="1" applyProtection="1">
      <alignment horizontal="center" vertical="center"/>
    </xf>
    <xf numFmtId="0" fontId="13" fillId="0" borderId="40" xfId="2" applyFont="1" applyFill="1" applyBorder="1" applyAlignment="1" applyProtection="1">
      <alignment horizontal="center" vertical="center"/>
    </xf>
    <xf numFmtId="0" fontId="13" fillId="0" borderId="4" xfId="2" applyNumberFormat="1" applyFont="1" applyFill="1" applyBorder="1" applyAlignment="1" applyProtection="1">
      <alignment horizontal="left" vertical="center"/>
    </xf>
    <xf numFmtId="0" fontId="13" fillId="0" borderId="3" xfId="2" applyNumberFormat="1" applyFont="1" applyFill="1" applyBorder="1" applyAlignment="1" applyProtection="1">
      <alignment horizontal="left" vertical="center"/>
    </xf>
    <xf numFmtId="1" fontId="13" fillId="0" borderId="3" xfId="2" applyNumberFormat="1" applyFont="1" applyFill="1" applyBorder="1" applyAlignment="1" applyProtection="1">
      <alignment horizontal="center" vertical="center"/>
    </xf>
    <xf numFmtId="0" fontId="13" fillId="0" borderId="2" xfId="2" applyNumberFormat="1" applyFont="1" applyFill="1" applyBorder="1" applyAlignment="1" applyProtection="1">
      <alignment horizontal="left" vertical="center"/>
    </xf>
    <xf numFmtId="0" fontId="13" fillId="0" borderId="1" xfId="2" applyNumberFormat="1" applyFont="1" applyFill="1" applyBorder="1" applyAlignment="1" applyProtection="1">
      <alignment horizontal="left" vertical="center"/>
    </xf>
    <xf numFmtId="1" fontId="13" fillId="0" borderId="1" xfId="2" applyNumberFormat="1" applyFont="1" applyFill="1" applyBorder="1" applyAlignment="1" applyProtection="1">
      <alignment horizontal="center" vertical="center"/>
    </xf>
    <xf numFmtId="0" fontId="8" fillId="10" borderId="50" xfId="2" applyFont="1" applyFill="1" applyBorder="1" applyAlignment="1" applyProtection="1">
      <alignment vertical="center"/>
    </xf>
    <xf numFmtId="0" fontId="13" fillId="0" borderId="26" xfId="2" applyFont="1" applyBorder="1" applyAlignment="1" applyProtection="1">
      <alignment horizontal="center" vertical="center"/>
    </xf>
    <xf numFmtId="0" fontId="13" fillId="0" borderId="26" xfId="2" applyFont="1" applyFill="1" applyBorder="1" applyAlignment="1" applyProtection="1">
      <alignment horizontal="center" vertical="center"/>
    </xf>
    <xf numFmtId="0" fontId="18" fillId="0" borderId="0" xfId="0" applyFont="1" applyFill="1" applyBorder="1" applyProtection="1"/>
    <xf numFmtId="0" fontId="13" fillId="0" borderId="43" xfId="2" applyNumberFormat="1" applyFont="1" applyFill="1" applyBorder="1" applyAlignment="1" applyProtection="1">
      <alignment horizontal="center" vertical="center"/>
    </xf>
    <xf numFmtId="0" fontId="7" fillId="0" borderId="0" xfId="0" applyFont="1" applyFill="1" applyProtection="1"/>
    <xf numFmtId="0" fontId="13" fillId="0" borderId="49" xfId="2" applyFont="1" applyBorder="1" applyAlignment="1" applyProtection="1">
      <alignment horizontal="center" vertical="center"/>
    </xf>
    <xf numFmtId="0" fontId="13" fillId="0" borderId="31" xfId="2" applyNumberFormat="1" applyFont="1" applyFill="1" applyBorder="1" applyAlignment="1" applyProtection="1">
      <alignment horizontal="left" vertical="center"/>
    </xf>
    <xf numFmtId="0" fontId="13" fillId="0" borderId="44" xfId="2" applyNumberFormat="1" applyFont="1" applyFill="1" applyBorder="1" applyAlignment="1" applyProtection="1">
      <alignment horizontal="center" vertical="center"/>
    </xf>
    <xf numFmtId="0" fontId="13" fillId="0" borderId="49" xfId="2" applyFont="1" applyFill="1" applyBorder="1" applyAlignment="1" applyProtection="1">
      <alignment horizontal="center" vertical="center"/>
    </xf>
    <xf numFmtId="0" fontId="18" fillId="0" borderId="31" xfId="0" applyFont="1" applyFill="1" applyBorder="1" applyProtection="1"/>
    <xf numFmtId="0" fontId="22" fillId="0" borderId="0" xfId="2" applyFont="1" applyAlignment="1" applyProtection="1">
      <alignment vertical="center"/>
    </xf>
    <xf numFmtId="0" fontId="31" fillId="0" borderId="0" xfId="0" applyFont="1" applyAlignment="1" applyProtection="1">
      <alignment vertical="center"/>
    </xf>
    <xf numFmtId="0" fontId="4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165" fontId="24" fillId="0" borderId="0" xfId="2" applyNumberFormat="1" applyFont="1" applyFill="1" applyAlignment="1" applyProtection="1">
      <alignment vertical="center"/>
    </xf>
    <xf numFmtId="166" fontId="36" fillId="0" borderId="0" xfId="2" applyNumberFormat="1" applyFont="1" applyFill="1" applyAlignment="1" applyProtection="1">
      <alignment vertical="center"/>
    </xf>
    <xf numFmtId="166" fontId="24" fillId="0" borderId="0" xfId="2" applyNumberFormat="1" applyFont="1" applyFill="1" applyAlignment="1" applyProtection="1">
      <alignment horizontal="left" vertical="center"/>
    </xf>
    <xf numFmtId="0" fontId="32" fillId="0" borderId="0" xfId="2" applyFont="1" applyProtection="1"/>
    <xf numFmtId="0" fontId="30" fillId="0" borderId="0" xfId="1" applyFont="1" applyFill="1" applyProtection="1"/>
    <xf numFmtId="0" fontId="32" fillId="0" borderId="0" xfId="2" applyFont="1" applyFill="1" applyProtection="1"/>
    <xf numFmtId="0" fontId="12" fillId="0" borderId="0" xfId="2" applyFont="1" applyAlignment="1" applyProtection="1">
      <alignment horizontal="center" vertical="center"/>
    </xf>
    <xf numFmtId="0" fontId="8" fillId="0" borderId="0" xfId="2" applyFont="1" applyFill="1" applyProtection="1"/>
    <xf numFmtId="0" fontId="15" fillId="0" borderId="21" xfId="2" applyFont="1" applyFill="1" applyBorder="1" applyAlignment="1" applyProtection="1">
      <alignment vertical="center"/>
    </xf>
    <xf numFmtId="0" fontId="15" fillId="0" borderId="0" xfId="2" applyFont="1" applyFill="1" applyBorder="1" applyAlignment="1" applyProtection="1">
      <alignment vertical="center"/>
    </xf>
    <xf numFmtId="167" fontId="15" fillId="11" borderId="21" xfId="2" applyNumberFormat="1" applyFont="1" applyFill="1" applyBorder="1" applyAlignment="1" applyProtection="1">
      <alignment horizontal="center" vertical="center"/>
    </xf>
    <xf numFmtId="167" fontId="8" fillId="0" borderId="0" xfId="2" applyNumberFormat="1" applyFont="1" applyProtection="1"/>
    <xf numFmtId="0" fontId="33" fillId="0" borderId="0" xfId="2" applyFont="1" applyAlignment="1" applyProtection="1">
      <alignment vertical="center"/>
    </xf>
    <xf numFmtId="0" fontId="35" fillId="0" borderId="0" xfId="2" applyFont="1" applyAlignment="1" applyProtection="1">
      <alignment vertical="center"/>
    </xf>
    <xf numFmtId="0" fontId="34" fillId="0" borderId="0" xfId="2" applyFont="1" applyFill="1" applyAlignment="1" applyProtection="1">
      <alignment vertical="center"/>
    </xf>
    <xf numFmtId="0" fontId="34" fillId="0" borderId="0" xfId="2" applyFont="1" applyAlignment="1" applyProtection="1">
      <alignment vertical="center"/>
    </xf>
    <xf numFmtId="0" fontId="11" fillId="0" borderId="60" xfId="2" applyFont="1" applyFill="1" applyBorder="1" applyAlignment="1" applyProtection="1">
      <alignment horizontal="left"/>
    </xf>
    <xf numFmtId="0" fontId="12" fillId="18" borderId="61" xfId="2" applyFont="1" applyFill="1" applyBorder="1" applyAlignment="1" applyProtection="1">
      <alignment horizontal="left" vertical="center"/>
    </xf>
    <xf numFmtId="0" fontId="12" fillId="18" borderId="61" xfId="2" applyFont="1" applyFill="1" applyBorder="1" applyAlignment="1" applyProtection="1">
      <alignment horizontal="left" wrapText="1"/>
    </xf>
    <xf numFmtId="0" fontId="9" fillId="0" borderId="62" xfId="2" applyFont="1" applyFill="1" applyBorder="1" applyAlignment="1" applyProtection="1">
      <alignment horizontal="left" wrapText="1"/>
    </xf>
    <xf numFmtId="0" fontId="9" fillId="0" borderId="0" xfId="2" applyFont="1" applyBorder="1" applyAlignment="1" applyProtection="1">
      <alignment horizontal="left" wrapText="1"/>
    </xf>
    <xf numFmtId="0" fontId="11" fillId="0" borderId="0" xfId="2" applyFont="1" applyAlignment="1" applyProtection="1">
      <alignment horizontal="left"/>
    </xf>
    <xf numFmtId="0" fontId="12" fillId="18" borderId="0" xfId="2" applyFont="1" applyFill="1" applyBorder="1" applyAlignment="1" applyProtection="1">
      <alignment horizontal="left"/>
    </xf>
    <xf numFmtId="0" fontId="12" fillId="18" borderId="0" xfId="2" applyFont="1" applyFill="1" applyBorder="1" applyAlignment="1" applyProtection="1">
      <alignment horizontal="left" wrapText="1"/>
    </xf>
    <xf numFmtId="0" fontId="12" fillId="11" borderId="0" xfId="2" applyFont="1" applyFill="1" applyBorder="1" applyAlignment="1" applyProtection="1">
      <alignment horizontal="left"/>
    </xf>
    <xf numFmtId="0" fontId="11" fillId="0" borderId="62" xfId="2" applyFont="1" applyFill="1" applyBorder="1" applyAlignment="1" applyProtection="1">
      <alignment horizontal="left"/>
    </xf>
    <xf numFmtId="0" fontId="12" fillId="11" borderId="63" xfId="2" applyFont="1" applyFill="1" applyBorder="1" applyAlignment="1" applyProtection="1">
      <alignment horizontal="left"/>
    </xf>
    <xf numFmtId="0" fontId="8" fillId="0" borderId="0" xfId="2" applyFont="1" applyProtection="1"/>
    <xf numFmtId="0" fontId="15" fillId="0" borderId="0" xfId="2" applyFont="1" applyProtection="1"/>
    <xf numFmtId="0" fontId="28" fillId="0" borderId="0" xfId="2" applyFont="1" applyProtection="1"/>
    <xf numFmtId="0" fontId="12" fillId="0" borderId="0" xfId="2" applyFont="1" applyBorder="1" applyProtection="1"/>
    <xf numFmtId="0" fontId="37" fillId="0" borderId="0" xfId="2" applyFont="1" applyFill="1" applyBorder="1" applyAlignment="1" applyProtection="1">
      <alignment horizontal="left"/>
    </xf>
    <xf numFmtId="0" fontId="35" fillId="0" borderId="0" xfId="2" applyFont="1" applyFill="1" applyBorder="1" applyAlignment="1" applyProtection="1">
      <alignment horizontal="right"/>
    </xf>
    <xf numFmtId="0" fontId="41" fillId="11" borderId="0" xfId="0" applyFont="1" applyFill="1" applyAlignment="1" applyProtection="1">
      <alignment horizontal="center" vertical="center"/>
    </xf>
    <xf numFmtId="0" fontId="12" fillId="0" borderId="0" xfId="2" applyFont="1" applyBorder="1" applyAlignment="1" applyProtection="1"/>
    <xf numFmtId="0" fontId="12" fillId="0" borderId="0" xfId="2" applyFont="1" applyAlignment="1" applyProtection="1"/>
    <xf numFmtId="0" fontId="12" fillId="0" borderId="0" xfId="2" applyFont="1" applyFill="1" applyAlignment="1" applyProtection="1"/>
    <xf numFmtId="0" fontId="11" fillId="0" borderId="0" xfId="2" applyFont="1" applyBorder="1" applyAlignment="1" applyProtection="1">
      <alignment horizontal="center"/>
    </xf>
    <xf numFmtId="0" fontId="8" fillId="0" borderId="0" xfId="2" applyFont="1" applyFill="1" applyBorder="1" applyAlignment="1" applyProtection="1"/>
    <xf numFmtId="0" fontId="11" fillId="0" borderId="0" xfId="2" applyFont="1" applyBorder="1" applyProtection="1"/>
    <xf numFmtId="0" fontId="9" fillId="0" borderId="0" xfId="2" applyFont="1" applyFill="1" applyBorder="1" applyAlignment="1" applyProtection="1">
      <alignment vertical="top"/>
    </xf>
    <xf numFmtId="0" fontId="9" fillId="0" borderId="0" xfId="2" applyFont="1" applyFill="1" applyBorder="1" applyAlignment="1" applyProtection="1">
      <alignment horizontal="justify" vertical="top"/>
    </xf>
    <xf numFmtId="0" fontId="9" fillId="0" borderId="0" xfId="2" applyFont="1" applyFill="1" applyBorder="1" applyAlignment="1" applyProtection="1">
      <alignment vertical="top" wrapText="1"/>
    </xf>
    <xf numFmtId="0" fontId="8" fillId="0" borderId="0" xfId="2" applyFont="1" applyBorder="1" applyAlignment="1" applyProtection="1"/>
    <xf numFmtId="0" fontId="11" fillId="2" borderId="0" xfId="2" applyFont="1" applyFill="1" applyBorder="1" applyProtection="1"/>
    <xf numFmtId="0" fontId="14" fillId="4" borderId="34" xfId="0" applyFont="1" applyFill="1" applyBorder="1" applyAlignment="1" applyProtection="1">
      <alignment horizontal="center" vertical="center"/>
    </xf>
    <xf numFmtId="0" fontId="0" fillId="0" borderId="0" xfId="0" applyFont="1" applyFill="1" applyBorder="1" applyProtection="1"/>
    <xf numFmtId="0" fontId="0" fillId="0" borderId="39" xfId="0" applyFont="1" applyFill="1" applyBorder="1" applyAlignment="1" applyProtection="1">
      <alignment horizontal="left" vertical="center"/>
    </xf>
    <xf numFmtId="0" fontId="0" fillId="7" borderId="0" xfId="0" applyFont="1" applyFill="1" applyProtection="1"/>
    <xf numFmtId="0" fontId="0" fillId="0" borderId="0" xfId="0" applyFont="1" applyProtection="1"/>
    <xf numFmtId="0" fontId="0" fillId="0" borderId="0" xfId="0" applyFont="1" applyFill="1" applyAlignment="1" applyProtection="1">
      <alignment horizontal="left" vertical="center"/>
    </xf>
    <xf numFmtId="14" fontId="5" fillId="0" borderId="0" xfId="0" applyNumberFormat="1" applyFont="1" applyFill="1" applyAlignment="1" applyProtection="1">
      <alignment vertical="center"/>
    </xf>
    <xf numFmtId="0" fontId="19" fillId="0" borderId="0" xfId="0" applyFont="1" applyFill="1" applyBorder="1" applyAlignment="1" applyProtection="1">
      <alignment horizontal="center"/>
    </xf>
    <xf numFmtId="49" fontId="0" fillId="13" borderId="11" xfId="0" applyNumberFormat="1" applyFont="1" applyFill="1" applyBorder="1" applyAlignment="1" applyProtection="1">
      <alignment horizontal="center" vertical="center"/>
    </xf>
    <xf numFmtId="14" fontId="0" fillId="0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NumberFormat="1" applyFont="1" applyFill="1" applyProtection="1"/>
    <xf numFmtId="0" fontId="0" fillId="13" borderId="54" xfId="0" applyFont="1" applyFill="1" applyBorder="1" applyAlignment="1" applyProtection="1">
      <alignment horizontal="center" vertical="center"/>
    </xf>
    <xf numFmtId="0" fontId="0" fillId="13" borderId="11" xfId="0" applyFont="1" applyFill="1" applyBorder="1" applyProtection="1"/>
    <xf numFmtId="0" fontId="0" fillId="19" borderId="39" xfId="0" applyFont="1" applyFill="1" applyBorder="1" applyProtection="1"/>
    <xf numFmtId="0" fontId="0" fillId="19" borderId="39" xfId="0" applyFont="1" applyFill="1" applyBorder="1" applyAlignment="1" applyProtection="1">
      <alignment horizontal="center" vertical="center"/>
    </xf>
    <xf numFmtId="0" fontId="0" fillId="19" borderId="39" xfId="0" applyFont="1" applyFill="1" applyBorder="1" applyAlignment="1" applyProtection="1">
      <alignment horizontal="center"/>
    </xf>
    <xf numFmtId="0" fontId="0" fillId="19" borderId="64" xfId="0" applyFont="1" applyFill="1" applyBorder="1" applyAlignment="1" applyProtection="1">
      <alignment horizontal="center" vertical="center"/>
    </xf>
    <xf numFmtId="0" fontId="13" fillId="19" borderId="64" xfId="0" applyFont="1" applyFill="1" applyBorder="1" applyAlignment="1" applyProtection="1">
      <alignment horizontal="center" vertical="center"/>
    </xf>
    <xf numFmtId="167" fontId="14" fillId="19" borderId="37" xfId="0" applyNumberFormat="1" applyFont="1" applyFill="1" applyBorder="1" applyAlignment="1" applyProtection="1">
      <alignment horizontal="center" vertical="center"/>
    </xf>
    <xf numFmtId="0" fontId="0" fillId="6" borderId="15" xfId="0" applyFont="1" applyFill="1" applyBorder="1" applyAlignment="1" applyProtection="1">
      <alignment horizontal="left" vertical="center"/>
      <protection locked="0"/>
    </xf>
    <xf numFmtId="0" fontId="0" fillId="16" borderId="15" xfId="0" applyFont="1" applyFill="1" applyBorder="1" applyAlignment="1" applyProtection="1">
      <alignment horizontal="left" vertical="center"/>
      <protection locked="0"/>
    </xf>
    <xf numFmtId="0" fontId="0" fillId="6" borderId="18" xfId="0" applyFont="1" applyFill="1" applyBorder="1" applyAlignment="1" applyProtection="1">
      <alignment horizontal="left" vertical="center"/>
      <protection locked="0"/>
    </xf>
    <xf numFmtId="0" fontId="0" fillId="16" borderId="18" xfId="0" applyFont="1" applyFill="1" applyBorder="1" applyAlignment="1" applyProtection="1">
      <alignment horizontal="left" vertical="center"/>
      <protection locked="0"/>
    </xf>
    <xf numFmtId="0" fontId="0" fillId="9" borderId="18" xfId="0" applyFont="1" applyFill="1" applyBorder="1" applyAlignment="1" applyProtection="1">
      <alignment horizontal="center" vertical="center"/>
      <protection locked="0"/>
    </xf>
    <xf numFmtId="0" fontId="41" fillId="0" borderId="0" xfId="0" applyFont="1" applyAlignment="1">
      <alignment vertical="center"/>
    </xf>
    <xf numFmtId="0" fontId="12" fillId="5" borderId="12" xfId="0" applyFont="1" applyFill="1" applyBorder="1" applyAlignment="1">
      <alignment vertical="center"/>
    </xf>
    <xf numFmtId="0" fontId="37" fillId="0" borderId="0" xfId="2" applyFont="1" applyFill="1" applyBorder="1" applyAlignment="1">
      <alignment vertical="center"/>
    </xf>
    <xf numFmtId="0" fontId="12" fillId="5" borderId="65" xfId="2" applyFont="1" applyFill="1" applyBorder="1" applyAlignment="1">
      <alignment vertical="center"/>
    </xf>
    <xf numFmtId="164" fontId="12" fillId="5" borderId="65" xfId="2" applyNumberFormat="1" applyFont="1" applyFill="1" applyBorder="1" applyAlignment="1">
      <alignment horizontal="left" vertical="center"/>
    </xf>
    <xf numFmtId="0" fontId="43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164" fontId="12" fillId="0" borderId="0" xfId="2" applyNumberFormat="1" applyFont="1" applyFill="1" applyBorder="1" applyAlignment="1">
      <alignment horizontal="left" vertical="center"/>
    </xf>
    <xf numFmtId="164" fontId="4" fillId="0" borderId="0" xfId="0" applyNumberFormat="1" applyFont="1" applyFill="1" applyBorder="1" applyAlignment="1">
      <alignment horizontal="left" vertical="center" indent="2"/>
    </xf>
    <xf numFmtId="0" fontId="8" fillId="0" borderId="0" xfId="2" applyFont="1" applyFill="1" applyBorder="1" applyAlignment="1">
      <alignment vertical="center"/>
    </xf>
    <xf numFmtId="1" fontId="13" fillId="0" borderId="0" xfId="2" applyNumberFormat="1" applyFont="1" applyFill="1" applyBorder="1" applyAlignment="1" applyProtection="1">
      <alignment horizontal="left" vertical="center"/>
    </xf>
    <xf numFmtId="0" fontId="0" fillId="0" borderId="0" xfId="0" applyFont="1" applyBorder="1" applyAlignment="1" applyProtection="1">
      <alignment horizontal="right" vertical="center" indent="1"/>
    </xf>
    <xf numFmtId="0" fontId="0" fillId="0" borderId="0" xfId="0" applyFont="1" applyFill="1" applyAlignment="1" applyProtection="1">
      <alignment horizontal="right" vertical="center" indent="1"/>
    </xf>
    <xf numFmtId="0" fontId="13" fillId="0" borderId="5" xfId="2" applyNumberFormat="1" applyFont="1" applyFill="1" applyBorder="1" applyAlignment="1" applyProtection="1">
      <alignment horizontal="right" vertical="center" indent="1"/>
    </xf>
    <xf numFmtId="0" fontId="13" fillId="0" borderId="10" xfId="2" applyNumberFormat="1" applyFont="1" applyFill="1" applyBorder="1" applyAlignment="1" applyProtection="1">
      <alignment horizontal="right" vertical="center" indent="1"/>
    </xf>
    <xf numFmtId="1" fontId="13" fillId="0" borderId="7" xfId="2" applyNumberFormat="1" applyFont="1" applyFill="1" applyBorder="1" applyAlignment="1" applyProtection="1">
      <alignment horizontal="left" vertical="center"/>
    </xf>
    <xf numFmtId="0" fontId="6" fillId="0" borderId="0" xfId="0" applyFont="1" applyAlignment="1">
      <alignment vertical="center"/>
    </xf>
    <xf numFmtId="0" fontId="11" fillId="11" borderId="66" xfId="2" applyFont="1" applyFill="1" applyBorder="1" applyAlignment="1" applyProtection="1">
      <alignment horizontal="center" vertical="center"/>
    </xf>
    <xf numFmtId="0" fontId="36" fillId="0" borderId="0" xfId="2" applyFont="1" applyFill="1" applyBorder="1" applyAlignment="1" applyProtection="1">
      <alignment horizontal="left"/>
    </xf>
    <xf numFmtId="14" fontId="8" fillId="0" borderId="0" xfId="2" applyNumberFormat="1" applyFont="1" applyAlignment="1">
      <alignment horizontal="left" vertical="center" shrinkToFit="1"/>
    </xf>
    <xf numFmtId="165" fontId="8" fillId="0" borderId="0" xfId="2" applyNumberFormat="1" applyFont="1" applyFill="1" applyBorder="1" applyAlignment="1" applyProtection="1">
      <alignment horizontal="right"/>
    </xf>
    <xf numFmtId="165" fontId="8" fillId="0" borderId="0" xfId="2" applyNumberFormat="1" applyFont="1" applyFill="1" applyBorder="1" applyAlignment="1">
      <alignment horizontal="right"/>
    </xf>
    <xf numFmtId="165" fontId="8" fillId="0" borderId="0" xfId="2" applyNumberFormat="1" applyFont="1" applyFill="1" applyProtection="1"/>
    <xf numFmtId="165" fontId="8" fillId="0" borderId="0" xfId="2" applyNumberFormat="1" applyFont="1" applyFill="1" applyAlignment="1" applyProtection="1">
      <alignment horizontal="right"/>
    </xf>
    <xf numFmtId="0" fontId="0" fillId="0" borderId="0" xfId="0" applyFont="1" applyFill="1" applyBorder="1" applyAlignment="1" applyProtection="1">
      <alignment horizontal="center" vertical="center"/>
    </xf>
    <xf numFmtId="0" fontId="14" fillId="20" borderId="0" xfId="0" applyFont="1" applyFill="1" applyAlignment="1">
      <alignment vertical="center"/>
    </xf>
    <xf numFmtId="0" fontId="0" fillId="20" borderId="0" xfId="0" applyFill="1" applyAlignment="1">
      <alignment vertical="center"/>
    </xf>
    <xf numFmtId="0" fontId="5" fillId="20" borderId="0" xfId="0" applyFont="1" applyFill="1" applyAlignment="1">
      <alignment vertical="center"/>
    </xf>
    <xf numFmtId="0" fontId="0" fillId="0" borderId="0" xfId="0" applyFont="1" applyAlignment="1" applyProtection="1">
      <alignment vertical="center"/>
    </xf>
    <xf numFmtId="0" fontId="18" fillId="0" borderId="0" xfId="0" applyNumberFormat="1" applyFont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left" vertical="center"/>
    </xf>
    <xf numFmtId="0" fontId="0" fillId="0" borderId="0" xfId="2" applyNumberFormat="1" applyFont="1" applyFill="1" applyBorder="1" applyAlignment="1" applyProtection="1">
      <alignment horizontal="left" vertical="center"/>
    </xf>
    <xf numFmtId="0" fontId="0" fillId="0" borderId="31" xfId="2" applyNumberFormat="1" applyFont="1" applyFill="1" applyBorder="1" applyAlignment="1" applyProtection="1">
      <alignment horizontal="left" vertical="center"/>
    </xf>
    <xf numFmtId="0" fontId="0" fillId="0" borderId="0" xfId="0" applyFont="1" applyBorder="1" applyAlignment="1" applyProtection="1">
      <alignment horizontal="left"/>
    </xf>
    <xf numFmtId="0" fontId="11" fillId="10" borderId="24" xfId="2" applyFont="1" applyFill="1" applyBorder="1" applyAlignment="1" applyProtection="1">
      <alignment vertical="center"/>
    </xf>
    <xf numFmtId="0" fontId="5" fillId="14" borderId="14" xfId="0" applyFont="1" applyFill="1" applyBorder="1" applyAlignment="1">
      <alignment horizontal="center" vertical="center"/>
    </xf>
    <xf numFmtId="0" fontId="5" fillId="14" borderId="11" xfId="0" applyFont="1" applyFill="1" applyBorder="1" applyAlignment="1">
      <alignment horizontal="center" vertical="center"/>
    </xf>
    <xf numFmtId="0" fontId="14" fillId="14" borderId="14" xfId="0" applyFont="1" applyFill="1" applyBorder="1" applyAlignment="1" applyProtection="1">
      <alignment horizontal="center" vertical="center"/>
    </xf>
    <xf numFmtId="0" fontId="45" fillId="14" borderId="11" xfId="0" applyFont="1" applyFill="1" applyBorder="1" applyAlignment="1">
      <alignment horizontal="center" vertical="center"/>
    </xf>
    <xf numFmtId="0" fontId="44" fillId="14" borderId="11" xfId="0" applyFont="1" applyFill="1" applyBorder="1" applyAlignment="1">
      <alignment horizontal="center" vertical="center" wrapText="1"/>
    </xf>
    <xf numFmtId="0" fontId="0" fillId="0" borderId="0" xfId="0" quotePrefix="1" applyFont="1" applyFill="1" applyBorder="1" applyAlignment="1" applyProtection="1">
      <alignment horizontal="left" vertical="center"/>
      <protection locked="0"/>
    </xf>
    <xf numFmtId="169" fontId="24" fillId="0" borderId="0" xfId="2" applyNumberFormat="1" applyFont="1" applyAlignment="1">
      <alignment vertical="center"/>
    </xf>
    <xf numFmtId="0" fontId="1" fillId="0" borderId="0" xfId="1" applyFill="1" applyAlignment="1" applyProtection="1">
      <alignment vertical="center"/>
      <protection locked="0"/>
    </xf>
    <xf numFmtId="169" fontId="38" fillId="0" borderId="0" xfId="2" applyNumberFormat="1" applyFont="1" applyFill="1" applyAlignment="1" applyProtection="1">
      <alignment horizontal="right" vertical="center"/>
    </xf>
    <xf numFmtId="0" fontId="13" fillId="0" borderId="67" xfId="0" applyFont="1" applyFill="1" applyBorder="1" applyAlignment="1" applyProtection="1">
      <alignment vertical="center"/>
    </xf>
    <xf numFmtId="0" fontId="13" fillId="17" borderId="68" xfId="0" applyFont="1" applyFill="1" applyBorder="1" applyAlignment="1" applyProtection="1">
      <alignment vertical="center"/>
    </xf>
    <xf numFmtId="49" fontId="0" fillId="0" borderId="0" xfId="0" applyNumberFormat="1" applyFont="1" applyFill="1" applyBorder="1" applyAlignment="1" applyProtection="1">
      <alignment horizontal="center"/>
    </xf>
    <xf numFmtId="0" fontId="0" fillId="0" borderId="19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Alignment="1" applyProtection="1">
      <alignment horizontal="center"/>
    </xf>
    <xf numFmtId="0" fontId="0" fillId="0" borderId="0" xfId="0" applyNumberFormat="1" applyFont="1" applyProtection="1"/>
    <xf numFmtId="164" fontId="46" fillId="0" borderId="69" xfId="0" applyNumberFormat="1" applyFont="1" applyFill="1" applyBorder="1" applyAlignment="1">
      <alignment horizontal="left" vertical="center" indent="2"/>
    </xf>
    <xf numFmtId="0" fontId="1" fillId="0" borderId="0" xfId="1" applyFill="1" applyProtection="1">
      <protection locked="0"/>
    </xf>
    <xf numFmtId="0" fontId="18" fillId="0" borderId="70" xfId="0" applyFont="1" applyBorder="1" applyAlignment="1" applyProtection="1">
      <alignment horizontal="center" vertical="center"/>
    </xf>
    <xf numFmtId="0" fontId="13" fillId="0" borderId="0" xfId="2" applyNumberFormat="1" applyFont="1" applyFill="1" applyAlignment="1" applyProtection="1">
      <alignment horizontal="left" vertical="center"/>
    </xf>
    <xf numFmtId="0" fontId="0" fillId="0" borderId="0" xfId="2" applyFont="1" applyFill="1" applyBorder="1" applyAlignment="1" applyProtection="1">
      <alignment horizontal="left"/>
    </xf>
    <xf numFmtId="0" fontId="0" fillId="0" borderId="31" xfId="2" applyFont="1" applyFill="1" applyBorder="1" applyAlignment="1" applyProtection="1">
      <alignment horizontal="left"/>
    </xf>
    <xf numFmtId="0" fontId="13" fillId="0" borderId="0" xfId="2" applyFont="1" applyFill="1" applyAlignment="1" applyProtection="1">
      <alignment horizontal="center" vertical="center"/>
    </xf>
    <xf numFmtId="0" fontId="4" fillId="8" borderId="11" xfId="0" applyFont="1" applyFill="1" applyBorder="1" applyAlignment="1" applyProtection="1">
      <alignment horizontal="left" vertical="center"/>
      <protection locked="0"/>
    </xf>
    <xf numFmtId="166" fontId="24" fillId="0" borderId="0" xfId="2" applyNumberFormat="1" applyFont="1" applyAlignment="1">
      <alignment horizontal="left" vertical="center"/>
    </xf>
    <xf numFmtId="49" fontId="4" fillId="8" borderId="11" xfId="0" applyNumberFormat="1" applyFont="1" applyFill="1" applyBorder="1" applyAlignment="1" applyProtection="1">
      <alignment horizontal="left" vertical="center"/>
      <protection locked="0"/>
    </xf>
    <xf numFmtId="166" fontId="38" fillId="0" borderId="0" xfId="2" applyNumberFormat="1" applyFont="1" applyAlignment="1">
      <alignment horizontal="left" vertical="center"/>
    </xf>
    <xf numFmtId="0" fontId="9" fillId="8" borderId="54" xfId="2" applyFont="1" applyFill="1" applyBorder="1" applyAlignment="1" applyProtection="1">
      <alignment horizontal="left" vertical="center"/>
      <protection locked="0"/>
    </xf>
    <xf numFmtId="0" fontId="9" fillId="8" borderId="51" xfId="2" applyFont="1" applyFill="1" applyBorder="1" applyAlignment="1" applyProtection="1">
      <alignment horizontal="left" vertical="center"/>
      <protection locked="0"/>
    </xf>
    <xf numFmtId="0" fontId="9" fillId="8" borderId="14" xfId="2" applyFont="1" applyFill="1" applyBorder="1" applyAlignment="1" applyProtection="1">
      <alignment horizontal="left" vertical="center"/>
      <protection locked="0"/>
    </xf>
    <xf numFmtId="168" fontId="8" fillId="0" borderId="0" xfId="2" applyNumberFormat="1" applyFont="1" applyFill="1" applyBorder="1" applyAlignment="1" applyProtection="1">
      <alignment horizontal="left"/>
    </xf>
    <xf numFmtId="168" fontId="8" fillId="0" borderId="0" xfId="2" applyNumberFormat="1" applyFont="1" applyFill="1" applyAlignment="1" applyProtection="1">
      <alignment horizontal="left"/>
    </xf>
    <xf numFmtId="0" fontId="15" fillId="0" borderId="0" xfId="2" applyFont="1" applyFill="1" applyBorder="1" applyAlignment="1" applyProtection="1">
      <alignment horizontal="center"/>
    </xf>
    <xf numFmtId="0" fontId="12" fillId="0" borderId="0" xfId="2" applyFont="1" applyFill="1" applyBorder="1" applyAlignment="1" applyProtection="1">
      <alignment horizontal="center"/>
    </xf>
    <xf numFmtId="0" fontId="15" fillId="8" borderId="22" xfId="2" applyFont="1" applyFill="1" applyBorder="1" applyAlignment="1" applyProtection="1">
      <alignment vertical="center"/>
      <protection locked="0"/>
    </xf>
    <xf numFmtId="0" fontId="15" fillId="8" borderId="16" xfId="2" applyFont="1" applyFill="1" applyBorder="1" applyAlignment="1" applyProtection="1">
      <alignment vertical="center"/>
      <protection locked="0"/>
    </xf>
    <xf numFmtId="0" fontId="15" fillId="8" borderId="27" xfId="2" applyFont="1" applyFill="1" applyBorder="1" applyAlignment="1" applyProtection="1">
      <alignment vertical="center"/>
      <protection locked="0"/>
    </xf>
    <xf numFmtId="0" fontId="15" fillId="0" borderId="22" xfId="2" applyFont="1" applyFill="1" applyBorder="1" applyAlignment="1" applyProtection="1">
      <alignment horizontal="left" vertical="center"/>
      <protection locked="0"/>
    </xf>
    <xf numFmtId="0" fontId="15" fillId="0" borderId="16" xfId="2" applyFont="1" applyFill="1" applyBorder="1" applyAlignment="1" applyProtection="1">
      <alignment horizontal="left" vertical="center"/>
      <protection locked="0"/>
    </xf>
    <xf numFmtId="0" fontId="15" fillId="0" borderId="66" xfId="2" applyFont="1" applyFill="1" applyBorder="1" applyAlignment="1" applyProtection="1">
      <alignment horizontal="left" vertical="center"/>
      <protection locked="0"/>
    </xf>
    <xf numFmtId="0" fontId="15" fillId="8" borderId="66" xfId="2" applyFont="1" applyFill="1" applyBorder="1" applyAlignment="1" applyProtection="1">
      <alignment vertical="center"/>
      <protection locked="0"/>
    </xf>
  </cellXfs>
  <cellStyles count="5">
    <cellStyle name="Link" xfId="1" builtinId="8"/>
    <cellStyle name="Standard" xfId="0" builtinId="0"/>
    <cellStyle name="Standard 2" xfId="2" xr:uid="{00000000-0005-0000-0000-000002000000}"/>
    <cellStyle name="Standard 4" xfId="3" xr:uid="{00000000-0005-0000-0000-000003000000}"/>
    <cellStyle name="Stil 1" xfId="4" xr:uid="{00000000-0005-0000-0000-000004000000}"/>
  </cellStyles>
  <dxfs count="14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Unicode MS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border outline="0">
        <left style="thick">
          <color theme="0" tint="-0.499984740745262"/>
        </left>
        <right style="thick">
          <color theme="0" tint="-0.499984740745262"/>
        </right>
      </border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22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22"/>
          <bgColor rgb="FFFFDD71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protection locked="1" hidden="0"/>
    </dxf>
    <dxf>
      <border outline="0">
        <left style="thin">
          <color rgb="FF000000"/>
        </left>
        <top style="thin">
          <color rgb="FF000000"/>
        </top>
      </border>
    </dxf>
    <dxf>
      <protection locked="1" hidden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22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22"/>
          <bgColor rgb="FFFFDD7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protection locked="1" hidden="0"/>
    </dxf>
    <dxf>
      <border outline="0">
        <left style="thin">
          <color rgb="FF000000"/>
        </left>
        <top style="thin">
          <color rgb="FF000000"/>
        </top>
      </border>
    </dxf>
    <dxf>
      <protection locked="1" hidden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22"/>
          <bgColor rgb="FFFFFFC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lightUp">
          <fgColor rgb="FFFF0000"/>
        </patternFill>
      </fill>
    </dxf>
    <dxf>
      <fill>
        <patternFill patternType="lightUp">
          <fgColor rgb="FFFF0000"/>
        </patternFill>
      </fill>
    </dxf>
    <dxf>
      <fill>
        <patternFill patternType="lightUp">
          <f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22"/>
          <bgColor rgb="FFFFDD7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ck">
          <color theme="0" tint="-0.499984740745262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1" hidden="0"/>
    </dxf>
    <dxf>
      <border outline="0">
        <left style="thin">
          <color rgb="FF000000"/>
        </left>
        <top style="thin">
          <color rgb="FF000000"/>
        </top>
      </border>
    </dxf>
    <dxf>
      <protection locked="1" hidden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22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22"/>
          <bgColor rgb="FFFFDD7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ck">
          <color theme="0" tint="-0.499984740745262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1" hidden="0"/>
    </dxf>
    <dxf>
      <border outline="0">
        <left style="thin">
          <color rgb="FF000000"/>
        </left>
        <top style="thin">
          <color rgb="FF000000"/>
        </top>
      </border>
    </dxf>
    <dxf>
      <protection locked="1" hidden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22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22"/>
          <bgColor rgb="FFFFDD7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ck">
          <color theme="0" tint="-0.499984740745262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1" hidden="0"/>
    </dxf>
    <dxf>
      <border outline="0">
        <left style="thin">
          <color rgb="FF000000"/>
        </left>
        <top style="thin">
          <color rgb="FF000000"/>
        </top>
      </border>
    </dxf>
    <dxf>
      <protection locked="1" hidden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22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22"/>
          <bgColor rgb="FFFFDD7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ck">
          <color theme="0" tint="-0.499984740745262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1" hidden="0"/>
    </dxf>
    <dxf>
      <border outline="0">
        <left style="thin">
          <color rgb="FF000000"/>
        </left>
        <top style="thin">
          <color rgb="FF000000"/>
        </top>
      </border>
    </dxf>
    <dxf>
      <protection locked="1" hidden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22"/>
          <bgColor rgb="FFFFFFC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22"/>
          <bgColor rgb="FFFFDD7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ck">
          <color theme="0" tint="-0.499984740745262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1" hidden="0"/>
    </dxf>
    <dxf>
      <border outline="0">
        <left style="thin">
          <color rgb="FF000000"/>
        </left>
        <top style="thin">
          <color rgb="FF000000"/>
        </top>
      </border>
    </dxf>
    <dxf>
      <protection locked="1" hidden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22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22"/>
          <bgColor rgb="FFFFDD7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ck">
          <color theme="0" tint="-0.499984740745262"/>
        </left>
        <right/>
        <top style="thin">
          <color auto="1"/>
        </top>
        <bottom style="thin">
          <color auto="1"/>
        </bottom>
      </border>
      <protection locked="1" hidden="0"/>
    </dxf>
    <dxf>
      <border outline="0">
        <left style="thin">
          <color rgb="FF000000"/>
        </left>
        <top style="thin">
          <color rgb="FF000000"/>
        </top>
      </border>
    </dxf>
    <dxf>
      <protection locked="1" hidden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22"/>
          <bgColor rgb="FFFFFFC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lightDown">
          <fgColor rgb="FFFF0000"/>
        </patternFill>
      </fill>
    </dxf>
    <dxf>
      <fill>
        <patternFill patternType="lightDown">
          <fgColor rgb="FFFF0000"/>
        </patternFill>
      </fill>
    </dxf>
    <dxf>
      <fill>
        <patternFill patternType="lightDown">
          <fgColor rgb="FFFF0000"/>
        </patternFill>
      </fill>
    </dxf>
    <dxf>
      <fill>
        <patternFill patternType="lightUp">
          <fgColor rgb="FFFF0000"/>
        </patternFill>
      </fill>
    </dxf>
    <dxf>
      <fill>
        <patternFill patternType="gray125">
          <fgColor rgb="FFFF0000"/>
        </patternFill>
      </fill>
    </dxf>
    <dxf>
      <fill>
        <patternFill patternType="gray125">
          <f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" formatCode="0"/>
      <fill>
        <patternFill patternType="solid">
          <fgColor indexed="64"/>
          <bgColor theme="6" tint="0.59999389629810485"/>
        </patternFill>
      </fill>
      <alignment horizontal="left" textRotation="0" wrapText="0" indent="0" justifyLastLine="0" shrinkToFit="0" readingOrder="0"/>
      <border diagonalUp="0" diagonalDown="0"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22"/>
          <bgColor rgb="FFFFDD71"/>
        </patternFill>
      </fill>
      <alignment horizontal="right" vertical="center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border outline="0">
        <left style="thin">
          <color rgb="FF000000"/>
        </left>
        <top style="thin">
          <color rgb="FF000000"/>
        </top>
      </border>
    </dxf>
    <dxf>
      <protection locked="1" hidden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22"/>
          <bgColor rgb="FFFFEBAB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  <border diagonalUp="0" diagonalDown="0" outline="0"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31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31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31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/>
        <right style="hair">
          <color indexed="8"/>
        </right>
        <top style="hair">
          <color indexed="8"/>
        </top>
        <bottom style="hair">
          <color indexed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22"/>
          <bgColor auto="1"/>
        </patternFill>
      </fill>
      <alignment horizontal="right" vertical="center" textRotation="0" wrapText="0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border outline="0">
        <left style="thin">
          <color rgb="FF000000"/>
        </left>
        <top style="thin">
          <color rgb="FF000000"/>
        </top>
      </border>
    </dxf>
    <dxf>
      <fill>
        <patternFill patternType="none">
          <bgColor auto="1"/>
        </patternFill>
      </fill>
      <protection locked="1" hidden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22"/>
          <bgColor rgb="FFFFEBAB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1" hidden="0"/>
    </dxf>
    <dxf>
      <font>
        <strike val="0"/>
        <outline val="0"/>
        <shadow val="0"/>
        <vertAlign val="baseline"/>
        <sz val="11"/>
        <name val="Calibri"/>
        <scheme val="minor"/>
      </font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1" hidden="0"/>
    </dxf>
    <dxf>
      <font>
        <strike val="0"/>
        <outline val="0"/>
        <shadow val="0"/>
        <vertAlign val="baseline"/>
        <sz val="11"/>
        <name val="Calibri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protection locked="1" hidden="0"/>
    </dxf>
    <dxf>
      <font>
        <strike val="0"/>
        <outline val="0"/>
        <shadow val="0"/>
        <vertAlign val="baseline"/>
        <sz val="11"/>
        <name val="Calibri"/>
        <scheme val="minor"/>
      </font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1" hidden="0"/>
    </dxf>
    <dxf>
      <font>
        <strike val="0"/>
        <outline val="0"/>
        <shadow val="0"/>
        <vertAlign val="baseline"/>
        <sz val="11"/>
        <name val="Calibri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protection locked="1" hidden="0"/>
    </dxf>
    <dxf>
      <font>
        <strike val="0"/>
        <outline val="0"/>
        <shadow val="0"/>
        <vertAlign val="baseline"/>
        <sz val="11"/>
        <name val="Calibri"/>
        <scheme val="minor"/>
      </font>
      <fill>
        <patternFill>
          <fgColor indexed="64"/>
          <bgColor theme="0" tint="-0.14999847407452621"/>
        </patternFill>
      </fill>
      <border>
        <left style="thin">
          <color theme="5" tint="-0.24994659260841701"/>
        </left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7" formatCode="#,##0\ &quot;€&quot;"/>
      <fill>
        <patternFill patternType="solid">
          <fgColor indexed="64"/>
          <bgColor theme="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medium">
          <color theme="1" tint="0.34998626667073579"/>
        </right>
        <top/>
        <bottom style="medium">
          <color theme="1" tint="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 style="medium">
          <color theme="1" tint="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 style="medium">
          <color theme="1" tint="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 style="medium">
          <color theme="1" tint="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 style="medium">
          <color theme="1" tint="0.34998626667073579"/>
        </bottom>
      </border>
      <protection locked="1" hidden="0"/>
    </dxf>
    <dxf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 style="medium">
          <color theme="1" tint="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 style="medium">
          <color theme="1" tint="0.34998626667073579"/>
        </bottom>
      </border>
      <protection locked="1" hidden="0"/>
    </dxf>
    <dxf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 style="medium">
          <color theme="1" tint="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medium">
          <color theme="1" tint="0.34998626667073579"/>
        </top>
        <bottom style="medium">
          <color theme="1" tint="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9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medium">
          <color theme="1" tint="0.34998626667073579"/>
        </top>
        <bottom style="medium">
          <color theme="1" tint="0.34998626667073579"/>
        </bottom>
      </border>
      <protection locked="1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medium">
          <color theme="1" tint="0.34998626667073579"/>
        </top>
        <bottom style="medium">
          <color theme="1" tint="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9"/>
        </patternFill>
      </fill>
      <border diagonalUp="0" diagonalDown="0" outline="0">
        <left style="thin">
          <color theme="0"/>
        </left>
        <right style="thin">
          <color theme="0"/>
        </right>
        <top style="medium">
          <color theme="1" tint="0.34998626667073579"/>
        </top>
        <bottom style="medium">
          <color theme="1" tint="0.34998626667073579"/>
        </bottom>
      </border>
      <protection locked="1" hidden="0"/>
    </dxf>
    <dxf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medium">
          <color theme="1" tint="0.34998626667073579"/>
        </top>
        <bottom style="medium">
          <color theme="1" tint="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medium">
          <color theme="1" tint="0.34998626667073579"/>
        </left>
        <right style="thin">
          <color theme="0"/>
        </right>
        <top style="medium">
          <color theme="1" tint="0.34998626667073579"/>
        </top>
        <bottom style="medium">
          <color theme="1" tint="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 style="medium">
          <color theme="1" tint="0.34998626667073579"/>
        </left>
      </border>
      <protection locked="1" hidden="0"/>
    </dxf>
    <dxf>
      <font>
        <strike val="0"/>
        <outline val="0"/>
        <shadow val="0"/>
        <vertAlign val="baseline"/>
        <sz val="11"/>
        <name val="Calibri"/>
        <scheme val="minor"/>
      </font>
      <protection locked="1" hidden="0"/>
    </dxf>
    <dxf>
      <font>
        <strike val="0"/>
        <outline val="0"/>
        <shadow val="0"/>
        <vertAlign val="baseline"/>
        <sz val="11"/>
        <name val="Calibri"/>
        <scheme val="minor"/>
      </font>
      <protection locked="1" hidden="0"/>
    </dxf>
    <dxf>
      <border>
        <bottom style="thin">
          <color theme="5" tint="-0.24994659260841701"/>
        </bottom>
      </border>
    </dxf>
    <dxf>
      <font>
        <strike val="0"/>
        <outline val="0"/>
        <shadow val="0"/>
        <vertAlign val="baseline"/>
        <sz val="11"/>
        <name val="Calibri"/>
        <scheme val="minor"/>
      </font>
      <border diagonalUp="0" diagonalDown="0">
        <left style="thin">
          <color theme="5" tint="-0.24994659260841701"/>
        </left>
        <right style="thin">
          <color theme="5" tint="-0.24994659260841701"/>
        </right>
        <top/>
        <bottom/>
      </border>
      <protection locked="1" hidden="0"/>
    </dxf>
    <dxf>
      <fill>
        <patternFill patternType="darkUp">
          <fgColor rgb="FFFF0000"/>
        </patternFill>
      </fill>
    </dxf>
  </dxfs>
  <tableStyles count="0" defaultTableStyle="TableStyleMedium2" defaultPivotStyle="PivotStyleLight16"/>
  <colors>
    <mruColors>
      <color rgb="FFFFDD71"/>
      <color rgb="FFFFE697"/>
      <color rgb="FFD5FBA3"/>
      <color rgb="FFFFEBAB"/>
      <color rgb="FFB6FF9F"/>
      <color rgb="FF66FF33"/>
      <color rgb="FFFFFFCC"/>
      <color rgb="FF7FFF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373380</xdr:colOff>
      <xdr:row>1</xdr:row>
      <xdr:rowOff>152400</xdr:rowOff>
    </xdr:from>
    <xdr:to>
      <xdr:col>5</xdr:col>
      <xdr:colOff>690466</xdr:colOff>
      <xdr:row>4</xdr:row>
      <xdr:rowOff>250045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9660" y="579120"/>
          <a:ext cx="1079086" cy="125588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175260</xdr:colOff>
          <xdr:row>27</xdr:row>
          <xdr:rowOff>0</xdr:rowOff>
        </xdr:from>
        <xdr:to>
          <xdr:col>5</xdr:col>
          <xdr:colOff>708660</xdr:colOff>
          <xdr:row>31</xdr:row>
          <xdr:rowOff>175260</xdr:rowOff>
        </xdr:to>
        <xdr:sp macro="" textlink="">
          <xdr:nvSpPr>
            <xdr:cNvPr id="3075" name="Objek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373380</xdr:colOff>
      <xdr:row>0</xdr:row>
      <xdr:rowOff>30480</xdr:rowOff>
    </xdr:from>
    <xdr:to>
      <xdr:col>5</xdr:col>
      <xdr:colOff>804766</xdr:colOff>
      <xdr:row>3</xdr:row>
      <xdr:rowOff>105265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3020" y="30480"/>
          <a:ext cx="1079086" cy="125588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312420</xdr:colOff>
          <xdr:row>31</xdr:row>
          <xdr:rowOff>60960</xdr:rowOff>
        </xdr:from>
        <xdr:to>
          <xdr:col>5</xdr:col>
          <xdr:colOff>746760</xdr:colOff>
          <xdr:row>36</xdr:row>
          <xdr:rowOff>83820</xdr:rowOff>
        </xdr:to>
        <xdr:sp macro="" textlink="">
          <xdr:nvSpPr>
            <xdr:cNvPr id="4097" name="Objek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0</xdr:row>
      <xdr:rowOff>0</xdr:rowOff>
    </xdr:from>
    <xdr:to>
      <xdr:col>8</xdr:col>
      <xdr:colOff>949530</xdr:colOff>
      <xdr:row>3</xdr:row>
      <xdr:rowOff>143190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61020" y="0"/>
          <a:ext cx="941910" cy="10956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0</xdr:row>
      <xdr:rowOff>7620</xdr:rowOff>
    </xdr:from>
    <xdr:to>
      <xdr:col>7</xdr:col>
      <xdr:colOff>941910</xdr:colOff>
      <xdr:row>3</xdr:row>
      <xdr:rowOff>125462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3360" y="7620"/>
          <a:ext cx="926670" cy="10779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236220</xdr:colOff>
      <xdr:row>0</xdr:row>
      <xdr:rowOff>0</xdr:rowOff>
    </xdr:from>
    <xdr:to>
      <xdr:col>8</xdr:col>
      <xdr:colOff>759032</xdr:colOff>
      <xdr:row>3</xdr:row>
      <xdr:rowOff>126586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0" y="0"/>
          <a:ext cx="926672" cy="10790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358140</xdr:colOff>
      <xdr:row>0</xdr:row>
      <xdr:rowOff>60960</xdr:rowOff>
    </xdr:from>
    <xdr:to>
      <xdr:col>6</xdr:col>
      <xdr:colOff>499952</xdr:colOff>
      <xdr:row>3</xdr:row>
      <xdr:rowOff>187546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60960"/>
          <a:ext cx="873332" cy="10790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1234440</xdr:colOff>
      <xdr:row>0</xdr:row>
      <xdr:rowOff>0</xdr:rowOff>
    </xdr:from>
    <xdr:to>
      <xdr:col>10</xdr:col>
      <xdr:colOff>499952</xdr:colOff>
      <xdr:row>2</xdr:row>
      <xdr:rowOff>104127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79180" y="0"/>
          <a:ext cx="743792" cy="86612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eilnehmer" displayName="Teilnehmer" ref="A1:S52" totalsRowCount="1" headerRowDxfId="142" dataDxfId="140" totalsRowDxfId="139" headerRowBorderDxfId="141">
  <autoFilter ref="A1:S51" xr:uid="{00000000-0009-0000-0100-00000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sortState xmlns:xlrd2="http://schemas.microsoft.com/office/spreadsheetml/2017/richdata2" ref="A2:S51">
    <sortCondition ref="A1:A51"/>
  </sortState>
  <tableColumns count="19">
    <tableColumn id="1" xr3:uid="{00000000-0010-0000-0000-000001000000}" name="LfNr" totalsRowLabel="Ergebnis" dataDxfId="138" totalsRowDxfId="137">
      <calculatedColumnFormula>$V$2&amp;2</calculatedColumnFormula>
    </tableColumn>
    <tableColumn id="2" xr3:uid="{00000000-0010-0000-0000-000002000000}" name="Name" dataDxfId="136" totalsRowDxfId="135"/>
    <tableColumn id="3" xr3:uid="{00000000-0010-0000-0000-000003000000}" name="Vorname" dataDxfId="134" totalsRowDxfId="133"/>
    <tableColumn id="4" xr3:uid="{00000000-0010-0000-0000-000004000000}" name="Geb. datum" totalsRowDxfId="132"/>
    <tableColumn id="5" xr3:uid="{00000000-0010-0000-0000-000005000000}" name="Alter am Wettkampftag" totalsRowFunction="countNums" dataDxfId="131" totalsRowDxfId="130">
      <calculatedColumnFormula>IF( D2&gt;1940,DATEDIF(D2,W$1,"y")," ")</calculatedColumnFormula>
    </tableColumn>
    <tableColumn id="6" xr3:uid="{00000000-0010-0000-0000-000006000000}" name="Geschlecht" totalsRowDxfId="129"/>
    <tableColumn id="9" xr3:uid="{00000000-0010-0000-0000-000009000000}" name="Einzelkür" totalsRowDxfId="128"/>
    <tableColumn id="22" xr3:uid="{00000000-0010-0000-0000-000016000000}" name="Ek-Kürname" dataDxfId="127" totalsRowDxfId="126"/>
    <tableColumn id="10" xr3:uid="{00000000-0010-0000-0000-00000A000000}" name="Paarkür" totalsRowDxfId="125"/>
    <tableColumn id="24" xr3:uid="{00000000-0010-0000-0000-000018000000}" name="Pk-Kürname" dataDxfId="124" totalsRowDxfId="123"/>
    <tableColumn id="12" xr3:uid="{00000000-0010-0000-0000-00000C000000}" name="Kleingruppe" totalsRowDxfId="122"/>
    <tableColumn id="13" xr3:uid="{00000000-0010-0000-0000-00000D000000}" name="Großgruppe" totalsRowDxfId="121"/>
    <tableColumn id="19" xr3:uid="{00000000-0010-0000-0000-000013000000}" name="BDR" totalsRowDxfId="120"/>
    <tableColumn id="15" xr3:uid="{00000000-0010-0000-0000-00000F000000}" name="Startgebühr" totalsRowFunction="custom" totalsRowDxfId="119">
      <calculatedColumnFormula>IF($M2="","",(IF(P2+Q2=0,0,IF(P2&gt;0,$R2,$S2))))</calculatedColumnFormula>
      <totalsRowFormula>SUM(Teilnehmer[Startgebühr])</totalsRowFormula>
    </tableColumn>
    <tableColumn id="14" xr3:uid="{00000000-0010-0000-0000-00000E000000}" name="Spalte1" dataDxfId="118" totalsRowDxfId="117"/>
    <tableColumn id="17" xr3:uid="{00000000-0010-0000-0000-000011000000}" name="20 €" dataDxfId="116" totalsRowDxfId="115">
      <calculatedColumnFormula>COUNTIF(Teilnehmer[[#This Row],[Einzelkür]:[Pk-Kürname]],"ja")+COUNTIF(Teilnehmer[[#This Row],[Einzelkür]:[Pk-Kürname]],"&gt;0")</calculatedColumnFormula>
    </tableColumn>
    <tableColumn id="18" xr3:uid="{00000000-0010-0000-0000-000012000000}" name="8 €" totalsRowFunction="sum" dataDxfId="114" totalsRowDxfId="113">
      <calculatedColumnFormula>COUNTIFS(X$5:X$19,K2)+COUNTIFS(Y$5:Y$19,L2)</calculatedColumnFormula>
    </tableColumn>
    <tableColumn id="20" xr3:uid="{00000000-0010-0000-0000-000014000000}" name="Kür" dataDxfId="112" totalsRowDxfId="111">
      <calculatedColumnFormula>IF(Teilnehmer[[#This Row],[BDR]]="Ja",Deckblatt!$C$21,Deckblatt!$C$22)</calculatedColumnFormula>
    </tableColumn>
    <tableColumn id="21" xr3:uid="{00000000-0010-0000-0000-000015000000}" name="GK" dataDxfId="110" totalsRowDxfId="109">
      <calculatedColumnFormula>IF(Teilnehmer[[#This Row],[BDR]]="Ja",Deckblatt!$D$21,Deckblatt!$D$22)</calculatedColumnFormula>
    </tableColumn>
  </tableColumns>
  <tableStyleInfo name="TableStyleMedium14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7000000}" name="Tabelle18214" displayName="Tabelle18214" ref="A6:E33" totalsRowShown="0" headerRowDxfId="25" dataDxfId="23" headerRowBorderDxfId="24" tableBorderDxfId="22" headerRowCellStyle="Standard 2">
  <autoFilter ref="A6:E33" xr:uid="{00000000-0009-0000-0100-00000D000000}">
    <filterColumn colId="0" hiddenButton="1"/>
    <filterColumn colId="1" hiddenButton="1"/>
    <filterColumn colId="2" hiddenButton="1"/>
    <filterColumn colId="3" hiddenButton="1"/>
    <filterColumn colId="4" hiddenButton="1"/>
  </autoFilter>
  <sortState xmlns:xlrd2="http://schemas.microsoft.com/office/spreadsheetml/2017/richdata2" ref="A7:E16">
    <sortCondition ref="D6:D16"/>
  </sortState>
  <tableColumns count="5">
    <tableColumn id="8" xr3:uid="{00000000-0010-0000-0700-000008000000}" name="Fahrer" dataDxfId="21" dataCellStyle="Standard 2"/>
    <tableColumn id="2" xr3:uid="{00000000-0010-0000-0700-000002000000}" name="lf.Nr." dataDxfId="20" dataCellStyle="Standard 2">
      <calculatedColumnFormula>IFERROR(INDEX(Teilnehmer[LfNr],_xlfn.AGGREGATE(15,6,ROW(Teilnehmer[LfNr])/((Teilnehmer[Großgruppe]=$E$4)),ROW()-6)-1,1),"")</calculatedColumnFormula>
    </tableColumn>
    <tableColumn id="3" xr3:uid="{00000000-0010-0000-0700-000003000000}" name="Name" dataDxfId="19" dataCellStyle="Standard 2">
      <calculatedColumnFormula>IFERROR(VLOOKUP(B7,Teilnehmer[],2,FALSE),"")</calculatedColumnFormula>
    </tableColumn>
    <tableColumn id="4" xr3:uid="{00000000-0010-0000-0700-000004000000}" name="Vorname" dataDxfId="18" dataCellStyle="Standard 2">
      <calculatedColumnFormula>IFERROR(VLOOKUP(B7,Teilnehmer[],3,FALSE),"")</calculatedColumnFormula>
    </tableColumn>
    <tableColumn id="6" xr3:uid="{00000000-0010-0000-0700-000006000000}" name="Alter" dataDxfId="17" dataCellStyle="Standard 2">
      <calculatedColumnFormula>IFERROR(VLOOKUP(B7,Teilnehmer[],5,FALSE),"")</calculatedColumnFormula>
    </tableColumn>
  </tableColumns>
  <tableStyleInfo name="TableStyleLight1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8000000}" name="Tabelle1821115" displayName="Tabelle1821115" ref="G6:K33" totalsRowShown="0" headerRowDxfId="16" dataDxfId="14" headerRowBorderDxfId="15" tableBorderDxfId="13" headerRowCellStyle="Standard 2">
  <autoFilter ref="G6:K33" xr:uid="{00000000-0009-0000-0100-00000E000000}">
    <filterColumn colId="0" hiddenButton="1"/>
    <filterColumn colId="1" hiddenButton="1"/>
    <filterColumn colId="2" hiddenButton="1"/>
    <filterColumn colId="3" hiddenButton="1"/>
    <filterColumn colId="4" hiddenButton="1"/>
  </autoFilter>
  <sortState xmlns:xlrd2="http://schemas.microsoft.com/office/spreadsheetml/2017/richdata2" ref="G7:K16">
    <sortCondition ref="J6:J16"/>
  </sortState>
  <tableColumns count="5">
    <tableColumn id="8" xr3:uid="{00000000-0010-0000-0800-000008000000}" name="Fahrer" dataDxfId="12" dataCellStyle="Standard 2"/>
    <tableColumn id="2" xr3:uid="{00000000-0010-0000-0800-000002000000}" name="lf.Nr." dataDxfId="11" dataCellStyle="Standard 2">
      <calculatedColumnFormula>IFERROR(INDEX(Teilnehmer[LfNr],_xlfn.AGGREGATE(15,6,ROW(Teilnehmer[LfNr])/((Teilnehmer[Kleingruppe]=$K$4)),ROW()-6)-1,1),"")</calculatedColumnFormula>
    </tableColumn>
    <tableColumn id="3" xr3:uid="{00000000-0010-0000-0800-000003000000}" name="Name" dataDxfId="10" dataCellStyle="Standard 2">
      <calculatedColumnFormula>IFERROR(VLOOKUP(H7,Teilnehmer[],2,FALSE),"")</calculatedColumnFormula>
    </tableColumn>
    <tableColumn id="4" xr3:uid="{00000000-0010-0000-0800-000004000000}" name="Vorname" dataDxfId="9" dataCellStyle="Standard 2">
      <calculatedColumnFormula>IFERROR(VLOOKUP(H7,Teilnehmer[],3,FALSE),"")</calculatedColumnFormula>
    </tableColumn>
    <tableColumn id="6" xr3:uid="{00000000-0010-0000-0800-000006000000}" name="Alter" dataDxfId="8" dataCellStyle="Standard 2">
      <calculatedColumnFormula>IFERROR(VLOOKUP(H7,Teilnehmer[],5,FALSE),"")</calculatedColumnFormula>
    </tableColumn>
  </tableColumns>
  <tableStyleInfo name="TableStyleLight16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9000000}" name="Tabelle5" displayName="Tabelle5" ref="M6:Q33" totalsRowShown="0" headerRowDxfId="7" dataDxfId="6" tableBorderDxfId="5">
  <autoFilter ref="M6:Q33" xr:uid="{00000000-0009-0000-0100-000005000000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00000000-0010-0000-0900-000001000000}" name="Fahrer" dataDxfId="4" dataCellStyle="Standard 2">
      <calculatedColumnFormula>M6+1</calculatedColumnFormula>
    </tableColumn>
    <tableColumn id="2" xr3:uid="{00000000-0010-0000-0900-000002000000}" name="lf.Nr." dataDxfId="3">
      <calculatedColumnFormula>IFERROR(INDEX(Teilnehmer[LfNr],_xlfn.AGGREGATE(15,6,ROW(Teilnehmer[LfNr])/((Teilnehmer[Großgruppe]=$Q$4)),ROW()-6)-1,1),"")</calculatedColumnFormula>
    </tableColumn>
    <tableColumn id="3" xr3:uid="{00000000-0010-0000-0900-000003000000}" name="Name" dataDxfId="2" dataCellStyle="Standard 2">
      <calculatedColumnFormula>IFERROR(VLOOKUP(N7,Teilnehmer[],2,FALSE),"")</calculatedColumnFormula>
    </tableColumn>
    <tableColumn id="4" xr3:uid="{00000000-0010-0000-0900-000004000000}" name="Vorname" dataDxfId="1" dataCellStyle="Standard 2">
      <calculatedColumnFormula>IFERROR(VLOOKUP(N7,Teilnehmer[],3,FALSE),"")</calculatedColumnFormula>
    </tableColumn>
    <tableColumn id="5" xr3:uid="{00000000-0010-0000-0900-000005000000}" name="Alter" dataDxfId="0" dataCellStyle="Standard 2">
      <calculatedColumnFormula>IFERROR(VLOOKUP(N7,Teilnehmer[],5,FALSE),"")</calculatedColumnFormula>
    </tableColumn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elle18" displayName="Tabelle18" ref="A4:F35" totalsRowShown="0" headerRowDxfId="108" dataDxfId="106" headerRowBorderDxfId="107" tableBorderDxfId="105" headerRowCellStyle="Standard 2">
  <autoFilter ref="A4:F35" xr:uid="{00000000-0009-0000-0100-00000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sortState xmlns:xlrd2="http://schemas.microsoft.com/office/spreadsheetml/2017/richdata2" ref="A5:F5">
    <sortCondition ref="D4:D5"/>
  </sortState>
  <tableColumns count="6">
    <tableColumn id="8" xr3:uid="{00000000-0010-0000-0100-000008000000}" name="Kür Nr." dataDxfId="104" dataCellStyle="Standard 2"/>
    <tableColumn id="2" xr3:uid="{00000000-0010-0000-0100-000002000000}" name="lf.Nr. Anmeldung" dataDxfId="103" dataCellStyle="Standard 2">
      <calculatedColumnFormula>IFERROR(INDEX(Teilnehmer[LfNr],_xlfn.AGGREGATE(15,6,ROW(Teilnehmer[LfNr])/((Teilnehmer[Geschlecht]=$G$2)*(Teilnehmer[Einzelkür]="ja")),ROW()-4)-1,1),"")</calculatedColumnFormula>
    </tableColumn>
    <tableColumn id="3" xr3:uid="{00000000-0010-0000-0100-000003000000}" name="Name" dataDxfId="102" dataCellStyle="Standard 2">
      <calculatedColumnFormula>IFERROR(VLOOKUP($B5,Teilnehmer[],2,FALSE),"")</calculatedColumnFormula>
    </tableColumn>
    <tableColumn id="4" xr3:uid="{00000000-0010-0000-0100-000004000000}" name="Vorname" dataDxfId="101" dataCellStyle="Standard 2">
      <calculatedColumnFormula>IFERROR(VLOOKUP($B5,Teilnehmer[],3,FALSE),"")</calculatedColumnFormula>
    </tableColumn>
    <tableColumn id="6" xr3:uid="{00000000-0010-0000-0100-000006000000}" name="Alter" dataDxfId="100" dataCellStyle="Standard 2">
      <calculatedColumnFormula>IFERROR(VLOOKUP($B5,Teilnehmer[],5,FALSE),"")</calculatedColumnFormula>
    </tableColumn>
    <tableColumn id="7" xr3:uid="{00000000-0010-0000-0100-000007000000}" name="Kürname" dataDxfId="99" dataCellStyle="Standard 2">
      <calculatedColumnFormula>IFERROR(VLOOKUP($B5,Teilnehmer[],8,FALSE),"")</calculatedColumnFormula>
    </tableColumn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elle183" displayName="Tabelle183" ref="A4:F14" totalsRowShown="0" headerRowDxfId="98" dataDxfId="96" headerRowBorderDxfId="97" tableBorderDxfId="95" headerRowCellStyle="Standard 2">
  <autoFilter ref="A4:F14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sortState xmlns:xlrd2="http://schemas.microsoft.com/office/spreadsheetml/2017/richdata2" ref="A5:F14">
    <sortCondition ref="D4:D14"/>
  </sortState>
  <tableColumns count="6">
    <tableColumn id="8" xr3:uid="{00000000-0010-0000-0200-000008000000}" name="Kür Nr." dataDxfId="94" dataCellStyle="Standard 2"/>
    <tableColumn id="2" xr3:uid="{00000000-0010-0000-0200-000002000000}" name="lf.Nr. Anmeldung" dataDxfId="93" dataCellStyle="Standard 2">
      <calculatedColumnFormula>IFERROR(INDEX(Teilnehmer[LfNr],_xlfn.AGGREGATE(15,6,ROW(Teilnehmer[LfNr])/((Teilnehmer[Geschlecht]=$G$2)*(Teilnehmer[Einzelkür]="ja")),ROW()-4)-1,1),"")</calculatedColumnFormula>
    </tableColumn>
    <tableColumn id="3" xr3:uid="{00000000-0010-0000-0200-000003000000}" name="Name" dataDxfId="92" dataCellStyle="Standard 2">
      <calculatedColumnFormula>IFERROR(VLOOKUP($B5,Teilnehmer[],2,FALSE),"")</calculatedColumnFormula>
    </tableColumn>
    <tableColumn id="4" xr3:uid="{00000000-0010-0000-0200-000004000000}" name="Vorname" dataDxfId="91" dataCellStyle="Standard 2">
      <calculatedColumnFormula>IFERROR(VLOOKUP($B5,Teilnehmer[],3,FALSE),"")</calculatedColumnFormula>
    </tableColumn>
    <tableColumn id="6" xr3:uid="{00000000-0010-0000-0200-000006000000}" name="Alter" dataDxfId="90" dataCellStyle="Standard 2">
      <calculatedColumnFormula>IFERROR(VLOOKUP($B5,Teilnehmer[],5,FALSE),"")</calculatedColumnFormula>
    </tableColumn>
    <tableColumn id="7" xr3:uid="{00000000-0010-0000-0200-000007000000}" name="Kürname" dataDxfId="89" dataCellStyle="Standard 2">
      <calculatedColumnFormula>IFERROR(VLOOKUP($B5,Teilnehmer[],8,FALSE),"")</calculatedColumnFormula>
    </tableColumn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elle182" displayName="Tabelle182" ref="A6:E17" totalsRowShown="0" headerRowDxfId="82" dataDxfId="80" headerRowBorderDxfId="81" tableBorderDxfId="79" headerRowCellStyle="Standard 2">
  <autoFilter ref="A6:E17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</autoFilter>
  <sortState xmlns:xlrd2="http://schemas.microsoft.com/office/spreadsheetml/2017/richdata2" ref="A7:E17">
    <sortCondition ref="D6:D17"/>
  </sortState>
  <tableColumns count="5">
    <tableColumn id="8" xr3:uid="{00000000-0010-0000-0300-000008000000}" name="Fahrer" dataDxfId="78" dataCellStyle="Standard 2"/>
    <tableColumn id="2" xr3:uid="{00000000-0010-0000-0300-000002000000}" name="lf.Nr." dataDxfId="77" dataCellStyle="Standard 2">
      <calculatedColumnFormula>IFERROR(INDEX(Teilnehmer[LfNr],_xlfn.AGGREGATE(15,6,ROW(Teilnehmer[LfNr])/((Teilnehmer[Kleingruppe]=$E$4)),ROW()-6)-1,1),"")</calculatedColumnFormula>
    </tableColumn>
    <tableColumn id="3" xr3:uid="{00000000-0010-0000-0300-000003000000}" name="Name" dataDxfId="76" dataCellStyle="Standard 2">
      <calculatedColumnFormula>IFERROR(VLOOKUP(B7,Teilnehmer[],2,FALSE),"")</calculatedColumnFormula>
    </tableColumn>
    <tableColumn id="4" xr3:uid="{00000000-0010-0000-0300-000004000000}" name="Vorname" dataDxfId="75" dataCellStyle="Standard 2">
      <calculatedColumnFormula>IFERROR(VLOOKUP(B7,Teilnehmer[],3,FALSE),"")</calculatedColumnFormula>
    </tableColumn>
    <tableColumn id="6" xr3:uid="{00000000-0010-0000-0300-000006000000}" name="Alter" dataDxfId="74" dataCellStyle="Standard 2">
      <calculatedColumnFormula>IFERROR(VLOOKUP(B7,Teilnehmer[],5,FALSE),"")</calculatedColumnFormula>
    </tableColumn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4000000}" name="Tabelle18211" displayName="Tabelle18211" ref="A21:E32" totalsRowShown="0" headerRowDxfId="73" dataDxfId="71" headerRowBorderDxfId="72" tableBorderDxfId="70" headerRowCellStyle="Standard 2">
  <autoFilter ref="A21:E32" xr:uid="{00000000-0009-0000-0100-00000A000000}">
    <filterColumn colId="0" hiddenButton="1"/>
    <filterColumn colId="1" hiddenButton="1"/>
    <filterColumn colId="2" hiddenButton="1"/>
    <filterColumn colId="3" hiddenButton="1"/>
    <filterColumn colId="4" hiddenButton="1"/>
  </autoFilter>
  <sortState xmlns:xlrd2="http://schemas.microsoft.com/office/spreadsheetml/2017/richdata2" ref="A22:E32">
    <sortCondition ref="D21:D32"/>
  </sortState>
  <tableColumns count="5">
    <tableColumn id="8" xr3:uid="{00000000-0010-0000-0400-000008000000}" name="Fahrer" dataDxfId="69" dataCellStyle="Standard 2"/>
    <tableColumn id="2" xr3:uid="{00000000-0010-0000-0400-000002000000}" name="lf.Nr." dataDxfId="68" dataCellStyle="Standard 2">
      <calculatedColumnFormula>IFERROR(INDEX(Teilnehmer[LfNr],_xlfn.AGGREGATE(15,6,ROW(Teilnehmer[LfNr])/((Teilnehmer[Kleingruppe]=$E$19)),ROW()-21)-1,1),"")</calculatedColumnFormula>
    </tableColumn>
    <tableColumn id="3" xr3:uid="{00000000-0010-0000-0400-000003000000}" name="Name" dataDxfId="67" dataCellStyle="Standard 2">
      <calculatedColumnFormula>IFERROR(VLOOKUP(B22,Teilnehmer[],2,FALSE),"")</calculatedColumnFormula>
    </tableColumn>
    <tableColumn id="4" xr3:uid="{00000000-0010-0000-0400-000004000000}" name="Vorname" dataDxfId="66" dataCellStyle="Standard 2">
      <calculatedColumnFormula>IFERROR(VLOOKUP(B22,Teilnehmer[],3,FALSE),"")</calculatedColumnFormula>
    </tableColumn>
    <tableColumn id="6" xr3:uid="{00000000-0010-0000-0400-000006000000}" name="Alter" dataDxfId="65" dataCellStyle="Standard 2">
      <calculatedColumnFormula>IFERROR(VLOOKUP(B22,Teilnehmer[],5,FALSE),"")</calculatedColumnFormula>
    </tableColumn>
  </tableColumns>
  <tableStyleInfo name="TableStyleLight16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5000000}" name="Tabelle18212" displayName="Tabelle18212" ref="A36:E47" totalsRowShown="0" headerRowDxfId="64" dataDxfId="62" headerRowBorderDxfId="63" tableBorderDxfId="61" headerRowCellStyle="Standard 2">
  <autoFilter ref="A36:E47" xr:uid="{00000000-0009-0000-0100-00000B000000}">
    <filterColumn colId="0" hiddenButton="1"/>
    <filterColumn colId="1" hiddenButton="1"/>
    <filterColumn colId="2" hiddenButton="1"/>
    <filterColumn colId="3" hiddenButton="1"/>
    <filterColumn colId="4" hiddenButton="1"/>
  </autoFilter>
  <sortState xmlns:xlrd2="http://schemas.microsoft.com/office/spreadsheetml/2017/richdata2" ref="A37:E47">
    <sortCondition ref="D21:D32"/>
  </sortState>
  <tableColumns count="5">
    <tableColumn id="8" xr3:uid="{00000000-0010-0000-0500-000008000000}" name="Fahrer" dataDxfId="60" dataCellStyle="Standard 2"/>
    <tableColumn id="2" xr3:uid="{00000000-0010-0000-0500-000002000000}" name="lf.Nr." dataDxfId="59" dataCellStyle="Standard 2">
      <calculatedColumnFormula>IFERROR(INDEX(Teilnehmer[LfNr],_xlfn.AGGREGATE(15,6,ROW(Teilnehmer[LfNr])/((Teilnehmer[Kleingruppe]=$E$34)),ROW()-36)-1,1),"")</calculatedColumnFormula>
    </tableColumn>
    <tableColumn id="3" xr3:uid="{00000000-0010-0000-0500-000003000000}" name="Name" dataDxfId="58" dataCellStyle="Standard 2">
      <calculatedColumnFormula>IFERROR(VLOOKUP(B37,Teilnehmer[],2,FALSE),"")</calculatedColumnFormula>
    </tableColumn>
    <tableColumn id="4" xr3:uid="{00000000-0010-0000-0500-000004000000}" name="Vorname" dataDxfId="57" dataCellStyle="Standard 2">
      <calculatedColumnFormula>IFERROR(VLOOKUP(B37,Teilnehmer[],3,FALSE),"")</calculatedColumnFormula>
    </tableColumn>
    <tableColumn id="6" xr3:uid="{00000000-0010-0000-0500-000006000000}" name="Alter" dataDxfId="56" dataCellStyle="Standard 2">
      <calculatedColumnFormula>IFERROR(VLOOKUP(B37,Teilnehmer[],5,FALSE),"")</calculatedColumnFormula>
    </tableColumn>
  </tableColumns>
  <tableStyleInfo name="TableStyleLight2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6000000}" name="Tabelle1821113" displayName="Tabelle1821113" ref="A51:E62" totalsRowShown="0" headerRowDxfId="55" dataDxfId="53" headerRowBorderDxfId="54" tableBorderDxfId="52" headerRowCellStyle="Standard 2">
  <autoFilter ref="A51:E62" xr:uid="{00000000-0009-0000-0100-00000C000000}">
    <filterColumn colId="0" hiddenButton="1"/>
    <filterColumn colId="1" hiddenButton="1"/>
    <filterColumn colId="2" hiddenButton="1"/>
    <filterColumn colId="3" hiddenButton="1"/>
    <filterColumn colId="4" hiddenButton="1"/>
  </autoFilter>
  <sortState xmlns:xlrd2="http://schemas.microsoft.com/office/spreadsheetml/2017/richdata2" ref="A52:E62">
    <sortCondition ref="D36:D47"/>
  </sortState>
  <tableColumns count="5">
    <tableColumn id="8" xr3:uid="{00000000-0010-0000-0600-000008000000}" name="Fahrer" dataDxfId="51" dataCellStyle="Standard 2"/>
    <tableColumn id="2" xr3:uid="{00000000-0010-0000-0600-000002000000}" name="lf.Nr." dataDxfId="50" dataCellStyle="Standard 2">
      <calculatedColumnFormula>IFERROR(INDEX(Teilnehmer[LfNr],_xlfn.AGGREGATE(15,6,ROW(Teilnehmer[LfNr])/((Teilnehmer[Kleingruppe]=$E$49)),ROW()-51)-1,1),"")</calculatedColumnFormula>
    </tableColumn>
    <tableColumn id="3" xr3:uid="{00000000-0010-0000-0600-000003000000}" name="Name" dataDxfId="49" dataCellStyle="Standard 2">
      <calculatedColumnFormula>IFERROR(VLOOKUP(B52,Teilnehmer[],2,FALSE),"")</calculatedColumnFormula>
    </tableColumn>
    <tableColumn id="4" xr3:uid="{00000000-0010-0000-0600-000004000000}" name="Vorname" dataDxfId="48" dataCellStyle="Standard 2">
      <calculatedColumnFormula>IFERROR(VLOOKUP(B52,Teilnehmer[],3,FALSE),"")</calculatedColumnFormula>
    </tableColumn>
    <tableColumn id="6" xr3:uid="{00000000-0010-0000-0600-000006000000}" name="Alter" dataDxfId="47" dataCellStyle="Standard 2">
      <calculatedColumnFormula>IFERROR(VLOOKUP(B52,Teilnehmer[],5,FALSE),"")</calculatedColumnFormula>
    </tableColumn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CA5999D-22C8-43F4-B23D-07D022412F89}" name="Tabelle18211134" displayName="Tabelle18211134" ref="A66:E77" totalsRowShown="0" headerRowDxfId="46" dataDxfId="44" headerRowBorderDxfId="45" tableBorderDxfId="43" headerRowCellStyle="Standard 2">
  <autoFilter ref="A66:E77" xr:uid="{B82D2C01-3024-4B5F-8643-96199755C7DE}">
    <filterColumn colId="0" hiddenButton="1"/>
    <filterColumn colId="1" hiddenButton="1"/>
    <filterColumn colId="2" hiddenButton="1"/>
    <filterColumn colId="3" hiddenButton="1"/>
    <filterColumn colId="4" hiddenButton="1"/>
  </autoFilter>
  <sortState xmlns:xlrd2="http://schemas.microsoft.com/office/spreadsheetml/2017/richdata2" ref="A67:E77">
    <sortCondition ref="D36:D47"/>
  </sortState>
  <tableColumns count="5">
    <tableColumn id="8" xr3:uid="{5117DD97-E123-46C3-98FD-33D209E0E7A8}" name="Fahrer" dataDxfId="42" dataCellStyle="Standard 2"/>
    <tableColumn id="2" xr3:uid="{C7574D34-5DC5-4E9F-8DFC-53E1766BD96F}" name="lf.Nr." dataDxfId="41" dataCellStyle="Standard 2">
      <calculatedColumnFormula>IFERROR(INDEX(Teilnehmer[LfNr],_xlfn.AGGREGATE(15,6,ROW(Teilnehmer[LfNr])/((Teilnehmer[Kleingruppe]=$E$64)),ROW()-66)-1,1),"")</calculatedColumnFormula>
    </tableColumn>
    <tableColumn id="3" xr3:uid="{FFA82920-560F-4A73-92D5-1A0B778E5687}" name="Name" dataDxfId="40" dataCellStyle="Standard 2">
      <calculatedColumnFormula>IFERROR(VLOOKUP(B67,Teilnehmer[],2,FALSE),"")</calculatedColumnFormula>
    </tableColumn>
    <tableColumn id="4" xr3:uid="{95B98CAA-62AE-4EDA-922B-46A3D3F0AECD}" name="Vorname" dataDxfId="39" dataCellStyle="Standard 2">
      <calculatedColumnFormula>IFERROR(VLOOKUP(B67,Teilnehmer[],3,FALSE),"")</calculatedColumnFormula>
    </tableColumn>
    <tableColumn id="6" xr3:uid="{46070B7B-4189-4B3D-84C8-6825532640B8}" name="Alter" dataDxfId="38" dataCellStyle="Standard 2">
      <calculatedColumnFormula>IFERROR(VLOOKUP(B67,Teilnehmer[],5,FALSE),"")</calculatedColumnFormula>
    </tableColumn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FF8BA95-40EE-4826-B2D8-3D1D4FB01409}" name="Tabelle182111347" displayName="Tabelle182111347" ref="A81:E92" totalsRowShown="0" headerRowDxfId="37" dataDxfId="35" headerRowBorderDxfId="36" tableBorderDxfId="34" headerRowCellStyle="Standard 2">
  <autoFilter ref="A81:E92" xr:uid="{FC743134-20FF-4F65-AC06-97018EA6B2B0}">
    <filterColumn colId="0" hiddenButton="1"/>
    <filterColumn colId="1" hiddenButton="1"/>
    <filterColumn colId="2" hiddenButton="1"/>
    <filterColumn colId="3" hiddenButton="1"/>
    <filterColumn colId="4" hiddenButton="1"/>
  </autoFilter>
  <sortState xmlns:xlrd2="http://schemas.microsoft.com/office/spreadsheetml/2017/richdata2" ref="A82:E92">
    <sortCondition ref="D36:D47"/>
  </sortState>
  <tableColumns count="5">
    <tableColumn id="8" xr3:uid="{CF00BED1-DC03-4830-A020-3718C97DD843}" name="Fahrer" dataDxfId="33" dataCellStyle="Standard 2"/>
    <tableColumn id="2" xr3:uid="{D38801F2-3365-41C2-A671-12F4601EFAAD}" name="lf.Nr." dataDxfId="32" dataCellStyle="Standard 2">
      <calculatedColumnFormula>IFERROR(INDEX(Teilnehmer[LfNr],_xlfn.AGGREGATE(15,6,ROW(Teilnehmer[LfNr])/((Teilnehmer[Kleingruppe]=$E$79)),ROW()-81)-1,1),"")</calculatedColumnFormula>
    </tableColumn>
    <tableColumn id="3" xr3:uid="{457DB4AE-BD48-4C6B-98EA-4765B2E4CA83}" name="Name" dataDxfId="31" dataCellStyle="Standard 2">
      <calculatedColumnFormula>IFERROR(VLOOKUP(B82,Teilnehmer[],2,FALSE),"")</calculatedColumnFormula>
    </tableColumn>
    <tableColumn id="4" xr3:uid="{4FD37D9A-3B56-4F4F-AFBA-7E5D7DA82B48}" name="Vorname" dataDxfId="30" dataCellStyle="Standard 2">
      <calculatedColumnFormula>IFERROR(VLOOKUP(B82,Teilnehmer[],3,FALSE),"")</calculatedColumnFormula>
    </tableColumn>
    <tableColumn id="6" xr3:uid="{7C1F04D5-DA23-44C0-B9C8-36891AA7A36E}" name="Alter" dataDxfId="29" dataCellStyle="Standard 2">
      <calculatedColumnFormula>IFERROR(VLOOKUP(B82,Teilnehmer[],5,FALSE),"")</calculatedColumnFormula>
    </tableColumn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meldungSDM2020@einrad-gilching.de" TargetMode="External"/><Relationship Id="rId6" Type="http://schemas.openxmlformats.org/officeDocument/2006/relationships/image" Target="../media/image1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nmeldungSDM2020@einrad-gilching.de" TargetMode="External"/><Relationship Id="rId6" Type="http://schemas.openxmlformats.org/officeDocument/2006/relationships/image" Target="../media/image1.png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tabColor theme="9" tint="0.39997558519241921"/>
  </sheetPr>
  <dimension ref="A1:D32"/>
  <sheetViews>
    <sheetView showGridLines="0" showRowColHeaders="0" tabSelected="1" zoomScaleNormal="100" workbookViewId="0">
      <selection activeCell="C8" sqref="C8:D8"/>
    </sheetView>
  </sheetViews>
  <sheetFormatPr baseColWidth="10" defaultColWidth="10.6640625" defaultRowHeight="14.4" x14ac:dyDescent="0.3"/>
  <cols>
    <col min="1" max="1" width="8" style="19" customWidth="1"/>
    <col min="2" max="2" width="21" style="19" customWidth="1"/>
    <col min="3" max="3" width="13.6640625" style="19" customWidth="1"/>
    <col min="4" max="4" width="20.6640625" style="19" customWidth="1"/>
    <col min="5" max="16384" width="10.6640625" style="19"/>
  </cols>
  <sheetData>
    <row r="1" spans="1:4" ht="33.6" x14ac:dyDescent="0.3">
      <c r="A1" s="23"/>
      <c r="B1" s="24" t="s">
        <v>108</v>
      </c>
    </row>
    <row r="2" spans="1:4" ht="33.6" x14ac:dyDescent="0.3">
      <c r="A2" s="23"/>
      <c r="B2" s="24"/>
    </row>
    <row r="3" spans="1:4" ht="28.8" x14ac:dyDescent="0.3">
      <c r="B3" s="296">
        <v>43911</v>
      </c>
      <c r="C3" s="313">
        <v>43912</v>
      </c>
      <c r="D3" s="313"/>
    </row>
    <row r="4" spans="1:4" ht="28.8" x14ac:dyDescent="0.3">
      <c r="B4" s="25"/>
      <c r="C4" s="26"/>
      <c r="D4" s="26"/>
    </row>
    <row r="5" spans="1:4" ht="28.8" x14ac:dyDescent="0.3">
      <c r="B5" s="260" t="s">
        <v>25</v>
      </c>
      <c r="C5" s="20"/>
    </row>
    <row r="6" spans="1:4" ht="28.2" x14ac:dyDescent="0.3">
      <c r="B6" s="20"/>
      <c r="C6" s="20"/>
    </row>
    <row r="7" spans="1:4" ht="15" thickBot="1" x14ac:dyDescent="0.35">
      <c r="C7" s="271" t="s">
        <v>77</v>
      </c>
    </row>
    <row r="8" spans="1:4" ht="22.65" customHeight="1" thickBot="1" x14ac:dyDescent="0.35">
      <c r="B8" s="256" t="s">
        <v>26</v>
      </c>
      <c r="C8" s="312"/>
      <c r="D8" s="312"/>
    </row>
    <row r="9" spans="1:4" ht="22.65" customHeight="1" thickBot="1" x14ac:dyDescent="0.35">
      <c r="B9" s="256" t="s">
        <v>27</v>
      </c>
      <c r="C9" s="312"/>
      <c r="D9" s="312"/>
    </row>
    <row r="10" spans="1:4" ht="22.65" customHeight="1" thickBot="1" x14ac:dyDescent="0.35">
      <c r="B10" s="256" t="s">
        <v>28</v>
      </c>
      <c r="C10" s="312"/>
      <c r="D10" s="312"/>
    </row>
    <row r="11" spans="1:4" ht="22.65" customHeight="1" thickBot="1" x14ac:dyDescent="0.35">
      <c r="B11" s="256" t="s">
        <v>29</v>
      </c>
      <c r="C11" s="314"/>
      <c r="D11" s="314"/>
    </row>
    <row r="12" spans="1:4" ht="22.65" customHeight="1" thickBot="1" x14ac:dyDescent="0.35">
      <c r="B12" s="256" t="s">
        <v>30</v>
      </c>
      <c r="C12" s="312"/>
      <c r="D12" s="312"/>
    </row>
    <row r="13" spans="1:4" ht="22.65" customHeight="1" thickBot="1" x14ac:dyDescent="0.35">
      <c r="B13" s="256" t="s">
        <v>31</v>
      </c>
      <c r="C13" s="312"/>
      <c r="D13" s="312"/>
    </row>
    <row r="14" spans="1:4" ht="22.65" customHeight="1" thickBot="1" x14ac:dyDescent="0.35">
      <c r="B14" s="256" t="s">
        <v>32</v>
      </c>
      <c r="C14" s="312"/>
      <c r="D14" s="312"/>
    </row>
    <row r="15" spans="1:4" ht="22.65" customHeight="1" thickBot="1" x14ac:dyDescent="0.35">
      <c r="B15" s="256" t="s">
        <v>33</v>
      </c>
      <c r="C15" s="312"/>
      <c r="D15" s="312"/>
    </row>
    <row r="17" spans="2:4" x14ac:dyDescent="0.3">
      <c r="B17" s="280" t="s">
        <v>82</v>
      </c>
      <c r="C17" s="281"/>
      <c r="D17" s="281"/>
    </row>
    <row r="18" spans="2:4" x14ac:dyDescent="0.3">
      <c r="B18" s="282" t="s">
        <v>81</v>
      </c>
      <c r="C18" s="281"/>
      <c r="D18" s="281"/>
    </row>
    <row r="20" spans="2:4" ht="28.2" customHeight="1" x14ac:dyDescent="0.3">
      <c r="B20" s="257" t="s">
        <v>34</v>
      </c>
      <c r="C20" s="27"/>
      <c r="D20" s="31"/>
    </row>
    <row r="21" spans="2:4" ht="28.2" customHeight="1" x14ac:dyDescent="0.3">
      <c r="B21" s="258" t="s">
        <v>37</v>
      </c>
      <c r="C21" s="259">
        <v>20</v>
      </c>
      <c r="D21" s="305">
        <v>20</v>
      </c>
    </row>
    <row r="22" spans="2:4" ht="28.2" customHeight="1" x14ac:dyDescent="0.3">
      <c r="B22" s="258" t="s">
        <v>38</v>
      </c>
      <c r="C22" s="259">
        <v>25</v>
      </c>
      <c r="D22" s="305">
        <v>25</v>
      </c>
    </row>
    <row r="23" spans="2:4" s="261" customFormat="1" ht="11.25" customHeight="1" x14ac:dyDescent="0.3">
      <c r="B23" s="28"/>
      <c r="C23" s="262"/>
      <c r="D23" s="263"/>
    </row>
    <row r="24" spans="2:4" s="32" customFormat="1" ht="33.9" customHeight="1" x14ac:dyDescent="0.3">
      <c r="B24" s="264" t="s">
        <v>35</v>
      </c>
      <c r="C24" s="274">
        <v>43883</v>
      </c>
      <c r="D24" s="30"/>
    </row>
    <row r="25" spans="2:4" ht="28.2" customHeight="1" x14ac:dyDescent="0.3">
      <c r="B25" s="28"/>
      <c r="C25" s="29"/>
      <c r="D25" s="21"/>
    </row>
    <row r="26" spans="2:4" s="22" customFormat="1" ht="28.2" customHeight="1" x14ac:dyDescent="0.3">
      <c r="B26" s="22" t="s">
        <v>36</v>
      </c>
      <c r="C26" s="297" t="s">
        <v>106</v>
      </c>
    </row>
    <row r="29" spans="2:4" ht="15.6" x14ac:dyDescent="0.3">
      <c r="B29" s="255" t="s">
        <v>78</v>
      </c>
    </row>
    <row r="30" spans="2:4" ht="15.6" x14ac:dyDescent="0.3">
      <c r="B30" s="21" t="s">
        <v>74</v>
      </c>
    </row>
    <row r="31" spans="2:4" ht="15.6" x14ac:dyDescent="0.3">
      <c r="B31" s="21" t="s">
        <v>75</v>
      </c>
      <c r="D31"/>
    </row>
    <row r="32" spans="2:4" ht="15.6" x14ac:dyDescent="0.3">
      <c r="B32" s="21" t="s">
        <v>76</v>
      </c>
    </row>
  </sheetData>
  <sheetProtection algorithmName="SHA-512" hashValue="sD7NhOfv7Q/Yh9608b6GVq2hrwAbHV475qIrR5foB634djXFehT+zfLqDONMe/CiKUxONiWQjnJ+lI5pj7+Irg==" saltValue="jCmCtZThNKESBs/Ev3KD1Q==" spinCount="100000" sheet="1" selectLockedCells="1"/>
  <mergeCells count="9">
    <mergeCell ref="C15:D15"/>
    <mergeCell ref="C3:D3"/>
    <mergeCell ref="C8:D8"/>
    <mergeCell ref="C9:D9"/>
    <mergeCell ref="C10:D10"/>
    <mergeCell ref="C11:D11"/>
    <mergeCell ref="C12:D12"/>
    <mergeCell ref="C13:D13"/>
    <mergeCell ref="C14:D14"/>
  </mergeCells>
  <hyperlinks>
    <hyperlink ref="C26" r:id="rId1" xr:uid="{00000000-0004-0000-0000-000000000000}"/>
  </hyperlinks>
  <pageMargins left="0.7" right="0.7" top="0.78740157499999996" bottom="0.78740157499999996" header="0.3" footer="0.3"/>
  <pageSetup paperSize="9" orientation="portrait" horizontalDpi="4294967293" verticalDpi="0" r:id="rId2"/>
  <drawing r:id="rId3"/>
  <legacyDrawing r:id="rId4"/>
  <oleObjects>
    <mc:AlternateContent xmlns:mc="http://schemas.openxmlformats.org/markup-compatibility/2006">
      <mc:Choice Requires="x14">
        <oleObject progId="PBrush" shapeId="3075" r:id="rId5">
          <objectPr defaultSize="0" autoPict="0" r:id="rId6">
            <anchor moveWithCells="1" sizeWithCells="1">
              <from>
                <xdr:col>4</xdr:col>
                <xdr:colOff>175260</xdr:colOff>
                <xdr:row>27</xdr:row>
                <xdr:rowOff>0</xdr:rowOff>
              </from>
              <to>
                <xdr:col>5</xdr:col>
                <xdr:colOff>708660</xdr:colOff>
                <xdr:row>31</xdr:row>
                <xdr:rowOff>175260</xdr:rowOff>
              </to>
            </anchor>
          </objectPr>
        </oleObject>
      </mc:Choice>
      <mc:Fallback>
        <oleObject progId="PBrush" shapeId="3075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tabColor rgb="FFC00000"/>
    <pageSetUpPr fitToPage="1"/>
  </sheetPr>
  <dimension ref="A1:AA52"/>
  <sheetViews>
    <sheetView showGridLines="0" showRowColHeaders="0" topLeftCell="B1" zoomScaleNormal="100" zoomScaleSheetLayoutView="100" workbookViewId="0">
      <pane ySplit="1" topLeftCell="A2" activePane="bottomLeft" state="frozen"/>
      <selection pane="bottomLeft" activeCell="B2" sqref="B2"/>
    </sheetView>
  </sheetViews>
  <sheetFormatPr baseColWidth="10" defaultColWidth="5.6640625" defaultRowHeight="14.4" x14ac:dyDescent="0.3"/>
  <cols>
    <col min="1" max="1" width="6.6640625" style="3" customWidth="1"/>
    <col min="2" max="2" width="19.44140625" style="236" bestFit="1" customWidth="1"/>
    <col min="3" max="3" width="13.109375" style="3" customWidth="1"/>
    <col min="4" max="4" width="11.6640625" style="3" customWidth="1"/>
    <col min="5" max="5" width="6.6640625" style="3" customWidth="1"/>
    <col min="6" max="7" width="4.6640625" style="2" customWidth="1"/>
    <col min="8" max="8" width="22.6640625" style="2" customWidth="1"/>
    <col min="9" max="9" width="5.6640625" style="2" customWidth="1"/>
    <col min="10" max="10" width="22.6640625" style="2" customWidth="1"/>
    <col min="11" max="13" width="5.6640625" style="2" customWidth="1"/>
    <col min="14" max="14" width="8.6640625" style="2" customWidth="1"/>
    <col min="15" max="15" width="6.6640625" style="3" hidden="1" customWidth="1"/>
    <col min="16" max="16" width="11.5546875" style="5" hidden="1" customWidth="1"/>
    <col min="17" max="17" width="11.5546875" style="303" hidden="1" customWidth="1"/>
    <col min="18" max="18" width="11.5546875" style="5" hidden="1" customWidth="1"/>
    <col min="19" max="19" width="5.6640625" style="3" hidden="1" customWidth="1"/>
    <col min="20" max="20" width="9.109375" style="3" hidden="1" customWidth="1"/>
    <col min="21" max="21" width="5.6640625" style="3" hidden="1" customWidth="1"/>
    <col min="22" max="22" width="10.109375" style="3" hidden="1" customWidth="1"/>
    <col min="23" max="23" width="11" style="3" hidden="1" customWidth="1"/>
    <col min="24" max="26" width="10.6640625" style="3" hidden="1" customWidth="1"/>
    <col min="27" max="27" width="10.6640625" style="3" customWidth="1"/>
    <col min="28" max="16384" width="5.6640625" style="3"/>
  </cols>
  <sheetData>
    <row r="1" spans="1:27" s="2" customFormat="1" ht="67.95" customHeight="1" x14ac:dyDescent="0.3">
      <c r="A1" s="56" t="s">
        <v>21</v>
      </c>
      <c r="B1" s="231" t="s">
        <v>3</v>
      </c>
      <c r="C1" s="57" t="s">
        <v>4</v>
      </c>
      <c r="D1" s="57" t="s">
        <v>5</v>
      </c>
      <c r="E1" s="69" t="s">
        <v>58</v>
      </c>
      <c r="F1" s="58" t="s">
        <v>15</v>
      </c>
      <c r="G1" s="58" t="s">
        <v>14</v>
      </c>
      <c r="H1" s="57" t="s">
        <v>59</v>
      </c>
      <c r="I1" s="58" t="s">
        <v>13</v>
      </c>
      <c r="J1" s="57" t="s">
        <v>80</v>
      </c>
      <c r="K1" s="58" t="s">
        <v>9</v>
      </c>
      <c r="L1" s="58" t="s">
        <v>10</v>
      </c>
      <c r="M1" s="58" t="s">
        <v>48</v>
      </c>
      <c r="N1" s="59" t="s">
        <v>17</v>
      </c>
      <c r="O1" s="55" t="s">
        <v>16</v>
      </c>
      <c r="P1" s="38" t="s">
        <v>49</v>
      </c>
      <c r="Q1" s="302" t="s">
        <v>50</v>
      </c>
      <c r="R1" s="38" t="s">
        <v>56</v>
      </c>
      <c r="S1" s="37" t="s">
        <v>57</v>
      </c>
      <c r="T1" s="43" t="s">
        <v>19</v>
      </c>
      <c r="U1" s="43"/>
      <c r="V1" s="44"/>
      <c r="W1" s="237">
        <f>Deckblatt!B3</f>
        <v>43911</v>
      </c>
      <c r="X1" s="238"/>
      <c r="Y1" s="238"/>
      <c r="Z1" s="238"/>
    </row>
    <row r="2" spans="1:27" ht="18" customHeight="1" x14ac:dyDescent="0.3">
      <c r="A2" s="60" t="str">
        <f>$V$2&amp;1</f>
        <v>1</v>
      </c>
      <c r="B2" s="46"/>
      <c r="C2" s="46"/>
      <c r="D2" s="47"/>
      <c r="E2" s="279" t="str">
        <f t="shared" ref="E2:E33" si="0">IF( D2&gt;1940,DATEDIF(D2,W$1,"y")," ")</f>
        <v xml:space="preserve"> </v>
      </c>
      <c r="F2" s="4"/>
      <c r="G2" s="70"/>
      <c r="H2" s="250"/>
      <c r="I2" s="117"/>
      <c r="J2" s="251"/>
      <c r="K2" s="71" t="s">
        <v>11</v>
      </c>
      <c r="L2" s="71"/>
      <c r="M2" s="48"/>
      <c r="N2" s="72" t="str">
        <f t="shared" ref="N2:N33" si="1">IF($M2="","",(IF(P2+Q2=0,0,IF(P2&gt;0,$R2,$S2))))</f>
        <v/>
      </c>
      <c r="O2" s="67"/>
      <c r="P2" s="39">
        <f>COUNTIF(Teilnehmer[[#This Row],[Einzelkür]:[Pk-Kürname]],"ja")+COUNTIF(Teilnehmer[[#This Row],[Einzelkür]:[Pk-Kürname]],"&gt;0")</f>
        <v>0</v>
      </c>
      <c r="Q2" s="301">
        <f>COUNTIFS(X$5:X$19,K2)+COUNTIFS(Y$5:Y$19,L2)</f>
        <v>0</v>
      </c>
      <c r="R2" s="39">
        <f>IF(Teilnehmer[[#This Row],[BDR]]="Ja",Deckblatt!$C$21,Deckblatt!$C$22)</f>
        <v>25</v>
      </c>
      <c r="S2" s="45">
        <f>IF(Teilnehmer[[#This Row],[BDR]]="Ja",Deckblatt!$D$21,Deckblatt!$D$22)</f>
        <v>25</v>
      </c>
      <c r="T2" s="52" t="s">
        <v>24</v>
      </c>
      <c r="V2" s="53"/>
    </row>
    <row r="3" spans="1:27" ht="18" customHeight="1" x14ac:dyDescent="0.3">
      <c r="A3" s="60" t="str">
        <f>$V$2&amp;2</f>
        <v>2</v>
      </c>
      <c r="B3" s="295"/>
      <c r="C3" s="46"/>
      <c r="D3" s="47"/>
      <c r="E3" s="279" t="str">
        <f t="shared" si="0"/>
        <v xml:space="preserve"> </v>
      </c>
      <c r="F3" s="4"/>
      <c r="G3" s="70"/>
      <c r="H3" s="250"/>
      <c r="I3" s="117"/>
      <c r="J3" s="251"/>
      <c r="K3" s="71" t="s">
        <v>11</v>
      </c>
      <c r="L3" s="71"/>
      <c r="M3" s="48"/>
      <c r="N3" s="72" t="str">
        <f t="shared" si="1"/>
        <v/>
      </c>
      <c r="O3" s="42"/>
      <c r="P3" s="39">
        <f>COUNTIF(Teilnehmer[[#This Row],[Einzelkür]:[Pk-Kürname]],"ja")+COUNTIF(Teilnehmer[[#This Row],[Einzelkür]:[Pk-Kürname]],"&gt;0")</f>
        <v>0</v>
      </c>
      <c r="Q3" s="301">
        <f t="shared" ref="Q3:Q51" si="2">COUNTIFS(X$5:X$19,K3)+COUNTIFS(Y$5:Y$19,L3)</f>
        <v>0</v>
      </c>
      <c r="R3" s="39">
        <f>IF(Teilnehmer[[#This Row],[BDR]]="Ja",Deckblatt!$C$21,Deckblatt!$C$22)</f>
        <v>25</v>
      </c>
      <c r="S3" s="45">
        <f>IF(Teilnehmer[[#This Row],[BDR]]="Ja",Deckblatt!$D$21,Deckblatt!$D$22)</f>
        <v>25</v>
      </c>
      <c r="T3" s="49"/>
      <c r="U3" s="49"/>
      <c r="V3" s="50"/>
    </row>
    <row r="4" spans="1:27" ht="18" customHeight="1" x14ac:dyDescent="0.3">
      <c r="A4" s="60" t="str">
        <f>$V$2&amp;3</f>
        <v>3</v>
      </c>
      <c r="B4" s="46"/>
      <c r="C4" s="46"/>
      <c r="D4" s="47"/>
      <c r="E4" s="279" t="str">
        <f t="shared" si="0"/>
        <v xml:space="preserve"> </v>
      </c>
      <c r="F4" s="4"/>
      <c r="G4" s="70"/>
      <c r="H4" s="250"/>
      <c r="I4" s="117"/>
      <c r="J4" s="251"/>
      <c r="K4" s="71" t="s">
        <v>11</v>
      </c>
      <c r="L4" s="71"/>
      <c r="M4" s="48"/>
      <c r="N4" s="72" t="str">
        <f t="shared" si="1"/>
        <v/>
      </c>
      <c r="O4" s="42"/>
      <c r="P4" s="39">
        <f>COUNTIF(Teilnehmer[[#This Row],[Einzelkür]:[Pk-Kürname]],"ja")+COUNTIF(Teilnehmer[[#This Row],[Einzelkür]:[Pk-Kürname]],"&gt;0")</f>
        <v>0</v>
      </c>
      <c r="Q4" s="301">
        <f t="shared" si="2"/>
        <v>0</v>
      </c>
      <c r="R4" s="39">
        <f>IF(Teilnehmer[[#This Row],[BDR]]="Ja",Deckblatt!$C$21,Deckblatt!$C$22)</f>
        <v>25</v>
      </c>
      <c r="S4" s="45">
        <f>IF(Teilnehmer[[#This Row],[BDR]]="Ja",Deckblatt!$D$21,Deckblatt!$D$22)</f>
        <v>25</v>
      </c>
      <c r="T4" s="33"/>
      <c r="U4" s="33"/>
      <c r="V4" s="54" t="s">
        <v>2</v>
      </c>
      <c r="W4" s="54" t="s">
        <v>18</v>
      </c>
      <c r="X4" s="54" t="s">
        <v>11</v>
      </c>
      <c r="Y4" s="242" t="s">
        <v>11</v>
      </c>
      <c r="Z4" s="243">
        <v>1</v>
      </c>
    </row>
    <row r="5" spans="1:27" ht="18" customHeight="1" x14ac:dyDescent="0.3">
      <c r="A5" s="60" t="str">
        <f>$V$2&amp;4</f>
        <v>4</v>
      </c>
      <c r="B5" s="46"/>
      <c r="C5" s="46"/>
      <c r="D5" s="47"/>
      <c r="E5" s="279" t="str">
        <f t="shared" si="0"/>
        <v xml:space="preserve"> </v>
      </c>
      <c r="F5" s="4"/>
      <c r="G5" s="70"/>
      <c r="H5" s="250"/>
      <c r="I5" s="117"/>
      <c r="J5" s="251"/>
      <c r="K5" s="71" t="s">
        <v>11</v>
      </c>
      <c r="L5" s="71"/>
      <c r="M5" s="48"/>
      <c r="N5" s="72" t="str">
        <f t="shared" si="1"/>
        <v/>
      </c>
      <c r="O5" s="42"/>
      <c r="P5" s="39">
        <f>COUNTIF(Teilnehmer[[#This Row],[Einzelkür]:[Pk-Kürname]],"ja")+COUNTIF(Teilnehmer[[#This Row],[Einzelkür]:[Pk-Kürname]],"&gt;0")</f>
        <v>0</v>
      </c>
      <c r="Q5" s="301">
        <f t="shared" si="2"/>
        <v>0</v>
      </c>
      <c r="R5" s="39">
        <f>IF(Teilnehmer[[#This Row],[BDR]]="Ja",Deckblatt!$C$21,Deckblatt!$C$22)</f>
        <v>25</v>
      </c>
      <c r="S5" s="45">
        <f>IF(Teilnehmer[[#This Row],[BDR]]="Ja",Deckblatt!$D$21,Deckblatt!$D$22)</f>
        <v>25</v>
      </c>
      <c r="T5" s="51"/>
      <c r="U5" s="51"/>
      <c r="V5" s="54" t="s">
        <v>0</v>
      </c>
      <c r="W5" s="54" t="s">
        <v>1</v>
      </c>
      <c r="X5" s="239" t="s">
        <v>22</v>
      </c>
      <c r="Y5" s="242" t="s">
        <v>40</v>
      </c>
      <c r="Z5" s="243">
        <v>2</v>
      </c>
    </row>
    <row r="6" spans="1:27" ht="18" customHeight="1" x14ac:dyDescent="0.3">
      <c r="A6" s="60" t="str">
        <f>$V$2&amp;5</f>
        <v>5</v>
      </c>
      <c r="B6" s="46"/>
      <c r="C6" s="46"/>
      <c r="D6" s="47"/>
      <c r="E6" s="279" t="str">
        <f t="shared" si="0"/>
        <v xml:space="preserve"> </v>
      </c>
      <c r="F6" s="4"/>
      <c r="G6" s="70"/>
      <c r="H6" s="250"/>
      <c r="I6" s="117"/>
      <c r="J6" s="251"/>
      <c r="K6" s="71" t="s">
        <v>11</v>
      </c>
      <c r="L6" s="71"/>
      <c r="M6" s="48"/>
      <c r="N6" s="72" t="str">
        <f t="shared" si="1"/>
        <v/>
      </c>
      <c r="O6" s="42"/>
      <c r="P6" s="39">
        <f>COUNTIF(Teilnehmer[[#This Row],[Einzelkür]:[Pk-Kürname]],"ja")+COUNTIF(Teilnehmer[[#This Row],[Einzelkür]:[Pk-Kürname]],"&gt;0")</f>
        <v>0</v>
      </c>
      <c r="Q6" s="301">
        <f t="shared" si="2"/>
        <v>0</v>
      </c>
      <c r="R6" s="39">
        <f>IF(Teilnehmer[[#This Row],[BDR]]="Ja",Deckblatt!$C$21,Deckblatt!$C$22)</f>
        <v>25</v>
      </c>
      <c r="S6" s="45">
        <f>IF(Teilnehmer[[#This Row],[BDR]]="Ja",Deckblatt!$D$21,Deckblatt!$D$22)</f>
        <v>25</v>
      </c>
      <c r="V6" s="54" t="s">
        <v>11</v>
      </c>
      <c r="W6" s="54"/>
      <c r="X6" s="239" t="s">
        <v>23</v>
      </c>
      <c r="Y6" s="242" t="s">
        <v>41</v>
      </c>
      <c r="Z6" s="243">
        <v>3</v>
      </c>
      <c r="AA6" s="238"/>
    </row>
    <row r="7" spans="1:27" ht="18" customHeight="1" x14ac:dyDescent="0.3">
      <c r="A7" s="60" t="str">
        <f>$V$2&amp;6</f>
        <v>6</v>
      </c>
      <c r="B7" s="46"/>
      <c r="C7" s="46"/>
      <c r="D7" s="47"/>
      <c r="E7" s="279" t="str">
        <f t="shared" si="0"/>
        <v xml:space="preserve"> </v>
      </c>
      <c r="F7" s="4"/>
      <c r="G7" s="70"/>
      <c r="H7" s="250"/>
      <c r="I7" s="117"/>
      <c r="J7" s="251"/>
      <c r="K7" s="71" t="s">
        <v>11</v>
      </c>
      <c r="L7" s="71"/>
      <c r="M7" s="48"/>
      <c r="N7" s="72" t="str">
        <f t="shared" si="1"/>
        <v/>
      </c>
      <c r="O7" s="42"/>
      <c r="P7" s="39">
        <f>COUNTIF(Teilnehmer[[#This Row],[Einzelkür]:[Pk-Kürname]],"ja")+COUNTIF(Teilnehmer[[#This Row],[Einzelkür]:[Pk-Kürname]],"&gt;0")</f>
        <v>0</v>
      </c>
      <c r="Q7" s="301">
        <f t="shared" si="2"/>
        <v>0</v>
      </c>
      <c r="R7" s="39">
        <f>IF(Teilnehmer[[#This Row],[BDR]]="Ja",Deckblatt!$C$21,Deckblatt!$C$22)</f>
        <v>25</v>
      </c>
      <c r="S7" s="45">
        <f>IF(Teilnehmer[[#This Row],[BDR]]="Ja",Deckblatt!$D$21,Deckblatt!$D$22)</f>
        <v>25</v>
      </c>
      <c r="V7" s="54"/>
      <c r="W7" s="54"/>
      <c r="X7" s="239" t="s">
        <v>39</v>
      </c>
      <c r="Y7" s="242" t="s">
        <v>42</v>
      </c>
      <c r="Z7" s="243">
        <v>4</v>
      </c>
    </row>
    <row r="8" spans="1:27" ht="18" customHeight="1" x14ac:dyDescent="0.3">
      <c r="A8" s="60" t="str">
        <f>$V$2&amp;7</f>
        <v>7</v>
      </c>
      <c r="B8" s="46"/>
      <c r="C8" s="46"/>
      <c r="D8" s="47"/>
      <c r="E8" s="279" t="str">
        <f t="shared" si="0"/>
        <v xml:space="preserve"> </v>
      </c>
      <c r="F8" s="4"/>
      <c r="G8" s="70"/>
      <c r="H8" s="250"/>
      <c r="I8" s="117"/>
      <c r="J8" s="251"/>
      <c r="K8" s="71" t="s">
        <v>11</v>
      </c>
      <c r="L8" s="71"/>
      <c r="M8" s="48"/>
      <c r="N8" s="72" t="str">
        <f t="shared" si="1"/>
        <v/>
      </c>
      <c r="O8" s="42"/>
      <c r="P8" s="39">
        <f>COUNTIF(Teilnehmer[[#This Row],[Einzelkür]:[Pk-Kürname]],"ja")+COUNTIF(Teilnehmer[[#This Row],[Einzelkür]:[Pk-Kürname]],"&gt;0")</f>
        <v>0</v>
      </c>
      <c r="Q8" s="301">
        <f t="shared" si="2"/>
        <v>0</v>
      </c>
      <c r="R8" s="39">
        <f>IF(Teilnehmer[[#This Row],[BDR]]="Ja",Deckblatt!$C$21,Deckblatt!$C$22)</f>
        <v>25</v>
      </c>
      <c r="S8" s="45">
        <f>IF(Teilnehmer[[#This Row],[BDR]]="Ja",Deckblatt!$D$21,Deckblatt!$D$22)</f>
        <v>25</v>
      </c>
      <c r="V8" s="54"/>
      <c r="W8" s="54"/>
      <c r="X8" s="54" t="s">
        <v>55</v>
      </c>
      <c r="Y8" s="242" t="s">
        <v>83</v>
      </c>
      <c r="Z8" s="243">
        <v>5</v>
      </c>
    </row>
    <row r="9" spans="1:27" ht="18" customHeight="1" x14ac:dyDescent="0.3">
      <c r="A9" s="60" t="str">
        <f>$V$2&amp;8</f>
        <v>8</v>
      </c>
      <c r="B9" s="46"/>
      <c r="C9" s="46"/>
      <c r="D9" s="47"/>
      <c r="E9" s="279" t="str">
        <f t="shared" si="0"/>
        <v xml:space="preserve"> </v>
      </c>
      <c r="F9" s="4"/>
      <c r="G9" s="70"/>
      <c r="H9" s="250"/>
      <c r="I9" s="117"/>
      <c r="J9" s="251"/>
      <c r="K9" s="71" t="s">
        <v>11</v>
      </c>
      <c r="L9" s="71"/>
      <c r="M9" s="48"/>
      <c r="N9" s="72" t="str">
        <f t="shared" si="1"/>
        <v/>
      </c>
      <c r="O9" s="42"/>
      <c r="P9" s="39">
        <f>COUNTIF(Teilnehmer[[#This Row],[Einzelkür]:[Pk-Kürname]],"ja")+COUNTIF(Teilnehmer[[#This Row],[Einzelkür]:[Pk-Kürname]],"&gt;0")</f>
        <v>0</v>
      </c>
      <c r="Q9" s="301">
        <f t="shared" si="2"/>
        <v>0</v>
      </c>
      <c r="R9" s="39">
        <f>IF(Teilnehmer[[#This Row],[BDR]]="Ja",Deckblatt!$C$21,Deckblatt!$C$22)</f>
        <v>25</v>
      </c>
      <c r="S9" s="45">
        <f>IF(Teilnehmer[[#This Row],[BDR]]="Ja",Deckblatt!$D$21,Deckblatt!$D$22)</f>
        <v>25</v>
      </c>
      <c r="X9" s="54" t="s">
        <v>95</v>
      </c>
      <c r="Y9" s="242" t="s">
        <v>84</v>
      </c>
      <c r="Z9" s="243">
        <v>6</v>
      </c>
    </row>
    <row r="10" spans="1:27" ht="18" customHeight="1" x14ac:dyDescent="0.3">
      <c r="A10" s="60" t="str">
        <f>$V$2&amp;9</f>
        <v>9</v>
      </c>
      <c r="B10" s="46"/>
      <c r="C10" s="46"/>
      <c r="D10" s="47"/>
      <c r="E10" s="279" t="str">
        <f t="shared" si="0"/>
        <v xml:space="preserve"> </v>
      </c>
      <c r="F10" s="4"/>
      <c r="G10" s="70"/>
      <c r="H10" s="250"/>
      <c r="I10" s="117"/>
      <c r="J10" s="251"/>
      <c r="K10" s="71" t="s">
        <v>11</v>
      </c>
      <c r="L10" s="71"/>
      <c r="M10" s="48"/>
      <c r="N10" s="72" t="str">
        <f t="shared" si="1"/>
        <v/>
      </c>
      <c r="O10" s="42"/>
      <c r="P10" s="39">
        <f>COUNTIF(Teilnehmer[[#This Row],[Einzelkür]:[Pk-Kürname]],"ja")+COUNTIF(Teilnehmer[[#This Row],[Einzelkür]:[Pk-Kürname]],"&gt;0")</f>
        <v>0</v>
      </c>
      <c r="Q10" s="301">
        <f t="shared" si="2"/>
        <v>0</v>
      </c>
      <c r="R10" s="39">
        <f>IF(Teilnehmer[[#This Row],[BDR]]="Ja",Deckblatt!$C$21,Deckblatt!$C$22)</f>
        <v>25</v>
      </c>
      <c r="S10" s="45">
        <f>IF(Teilnehmer[[#This Row],[BDR]]="Ja",Deckblatt!$D$21,Deckblatt!$D$22)</f>
        <v>25</v>
      </c>
      <c r="X10" s="54" t="s">
        <v>96</v>
      </c>
      <c r="Y10" s="242" t="s">
        <v>85</v>
      </c>
      <c r="Z10" s="243">
        <v>7</v>
      </c>
    </row>
    <row r="11" spans="1:27" ht="18" customHeight="1" x14ac:dyDescent="0.3">
      <c r="A11" s="60" t="str">
        <f>$V$2&amp;10</f>
        <v>10</v>
      </c>
      <c r="B11" s="46"/>
      <c r="C11" s="46"/>
      <c r="D11" s="47"/>
      <c r="E11" s="279" t="str">
        <f t="shared" si="0"/>
        <v xml:space="preserve"> </v>
      </c>
      <c r="F11" s="4"/>
      <c r="G11" s="70"/>
      <c r="H11" s="250"/>
      <c r="I11" s="117"/>
      <c r="J11" s="251"/>
      <c r="K11" s="71" t="s">
        <v>11</v>
      </c>
      <c r="L11" s="71"/>
      <c r="M11" s="48"/>
      <c r="N11" s="72" t="str">
        <f t="shared" si="1"/>
        <v/>
      </c>
      <c r="O11" s="42"/>
      <c r="P11" s="39">
        <f>COUNTIF(Teilnehmer[[#This Row],[Einzelkür]:[Pk-Kürname]],"ja")+COUNTIF(Teilnehmer[[#This Row],[Einzelkür]:[Pk-Kürname]],"&gt;0")</f>
        <v>0</v>
      </c>
      <c r="Q11" s="301">
        <f t="shared" si="2"/>
        <v>0</v>
      </c>
      <c r="R11" s="39">
        <f>IF(Teilnehmer[[#This Row],[BDR]]="Ja",Deckblatt!$C$21,Deckblatt!$C$22)</f>
        <v>25</v>
      </c>
      <c r="S11" s="45">
        <f>IF(Teilnehmer[[#This Row],[BDR]]="Ja",Deckblatt!$D$21,Deckblatt!$D$22)</f>
        <v>25</v>
      </c>
      <c r="X11" s="54" t="s">
        <v>97</v>
      </c>
      <c r="Y11" s="242" t="s">
        <v>86</v>
      </c>
      <c r="Z11" s="243">
        <v>8</v>
      </c>
    </row>
    <row r="12" spans="1:27" ht="18" customHeight="1" x14ac:dyDescent="0.3">
      <c r="A12" s="60" t="str">
        <f>$V$2&amp;11</f>
        <v>11</v>
      </c>
      <c r="B12" s="46"/>
      <c r="C12" s="46"/>
      <c r="D12" s="47"/>
      <c r="E12" s="279" t="str">
        <f t="shared" si="0"/>
        <v xml:space="preserve"> </v>
      </c>
      <c r="F12" s="4"/>
      <c r="G12" s="70"/>
      <c r="H12" s="250"/>
      <c r="I12" s="117"/>
      <c r="J12" s="251"/>
      <c r="K12" s="71" t="s">
        <v>11</v>
      </c>
      <c r="L12" s="71"/>
      <c r="M12" s="68"/>
      <c r="N12" s="72" t="str">
        <f t="shared" si="1"/>
        <v/>
      </c>
      <c r="O12" s="42"/>
      <c r="P12" s="39">
        <f>COUNTIF(Teilnehmer[[#This Row],[Einzelkür]:[Pk-Kürname]],"ja")+COUNTIF(Teilnehmer[[#This Row],[Einzelkür]:[Pk-Kürname]],"&gt;0")</f>
        <v>0</v>
      </c>
      <c r="Q12" s="301">
        <f t="shared" si="2"/>
        <v>0</v>
      </c>
      <c r="R12" s="39">
        <f>IF(Teilnehmer[[#This Row],[BDR]]="Ja",Deckblatt!$C$21,Deckblatt!$C$22)</f>
        <v>25</v>
      </c>
      <c r="S12" s="45">
        <f>IF(Teilnehmer[[#This Row],[BDR]]="Ja",Deckblatt!$D$21,Deckblatt!$D$22)</f>
        <v>25</v>
      </c>
      <c r="X12" s="54" t="s">
        <v>98</v>
      </c>
      <c r="Y12" s="242" t="s">
        <v>87</v>
      </c>
      <c r="Z12" s="243">
        <v>9</v>
      </c>
    </row>
    <row r="13" spans="1:27" ht="18" customHeight="1" x14ac:dyDescent="0.3">
      <c r="A13" s="60" t="str">
        <f>$V$2&amp;12</f>
        <v>12</v>
      </c>
      <c r="B13" s="46"/>
      <c r="C13" s="46"/>
      <c r="D13" s="47"/>
      <c r="E13" s="279" t="str">
        <f t="shared" si="0"/>
        <v xml:space="preserve"> </v>
      </c>
      <c r="F13" s="4"/>
      <c r="G13" s="70"/>
      <c r="H13" s="250"/>
      <c r="I13" s="117"/>
      <c r="J13" s="251"/>
      <c r="K13" s="71" t="s">
        <v>11</v>
      </c>
      <c r="L13" s="71"/>
      <c r="M13" s="68"/>
      <c r="N13" s="72" t="str">
        <f t="shared" si="1"/>
        <v/>
      </c>
      <c r="O13" s="42"/>
      <c r="P13" s="39">
        <f>COUNTIF(Teilnehmer[[#This Row],[Einzelkür]:[Pk-Kürname]],"ja")+COUNTIF(Teilnehmer[[#This Row],[Einzelkür]:[Pk-Kürname]],"&gt;0")</f>
        <v>0</v>
      </c>
      <c r="Q13" s="301">
        <f t="shared" si="2"/>
        <v>0</v>
      </c>
      <c r="R13" s="39">
        <f>IF(Teilnehmer[[#This Row],[BDR]]="Ja",Deckblatt!$C$21,Deckblatt!$C$22)</f>
        <v>25</v>
      </c>
      <c r="S13" s="45">
        <f>IF(Teilnehmer[[#This Row],[BDR]]="Ja",Deckblatt!$D$21,Deckblatt!$D$22)</f>
        <v>25</v>
      </c>
      <c r="X13" s="54" t="s">
        <v>99</v>
      </c>
      <c r="Y13" s="242" t="s">
        <v>88</v>
      </c>
      <c r="Z13" s="243">
        <v>10</v>
      </c>
    </row>
    <row r="14" spans="1:27" ht="18" customHeight="1" x14ac:dyDescent="0.3">
      <c r="A14" s="60" t="str">
        <f>$V$2&amp;13</f>
        <v>13</v>
      </c>
      <c r="B14" s="46"/>
      <c r="C14" s="46"/>
      <c r="D14" s="47"/>
      <c r="E14" s="279" t="str">
        <f t="shared" si="0"/>
        <v xml:space="preserve"> </v>
      </c>
      <c r="F14" s="4"/>
      <c r="G14" s="70"/>
      <c r="H14" s="250"/>
      <c r="I14" s="117"/>
      <c r="J14" s="251"/>
      <c r="K14" s="71" t="s">
        <v>11</v>
      </c>
      <c r="L14" s="71"/>
      <c r="M14" s="68"/>
      <c r="N14" s="72" t="str">
        <f t="shared" si="1"/>
        <v/>
      </c>
      <c r="O14" s="42"/>
      <c r="P14" s="39">
        <f>COUNTIF(Teilnehmer[[#This Row],[Einzelkür]:[Pk-Kürname]],"ja")+COUNTIF(Teilnehmer[[#This Row],[Einzelkür]:[Pk-Kürname]],"&gt;0")</f>
        <v>0</v>
      </c>
      <c r="Q14" s="301">
        <f t="shared" si="2"/>
        <v>0</v>
      </c>
      <c r="R14" s="39">
        <f>IF(Teilnehmer[[#This Row],[BDR]]="Ja",Deckblatt!$C$21,Deckblatt!$C$22)</f>
        <v>25</v>
      </c>
      <c r="S14" s="45">
        <f>IF(Teilnehmer[[#This Row],[BDR]]="Ja",Deckblatt!$D$21,Deckblatt!$D$22)</f>
        <v>25</v>
      </c>
      <c r="X14" s="54" t="s">
        <v>100</v>
      </c>
      <c r="Y14" s="242" t="s">
        <v>89</v>
      </c>
      <c r="Z14" s="243">
        <v>11</v>
      </c>
    </row>
    <row r="15" spans="1:27" ht="18" customHeight="1" x14ac:dyDescent="0.3">
      <c r="A15" s="60" t="str">
        <f>$V$2&amp;14</f>
        <v>14</v>
      </c>
      <c r="B15" s="46"/>
      <c r="C15" s="46"/>
      <c r="D15" s="47"/>
      <c r="E15" s="279" t="str">
        <f t="shared" si="0"/>
        <v xml:space="preserve"> </v>
      </c>
      <c r="F15" s="4"/>
      <c r="G15" s="70"/>
      <c r="H15" s="250"/>
      <c r="I15" s="117"/>
      <c r="J15" s="251"/>
      <c r="K15" s="71" t="s">
        <v>11</v>
      </c>
      <c r="L15" s="71"/>
      <c r="M15" s="68"/>
      <c r="N15" s="72" t="str">
        <f t="shared" si="1"/>
        <v/>
      </c>
      <c r="O15" s="42"/>
      <c r="P15" s="39">
        <f>COUNTIF(Teilnehmer[[#This Row],[Einzelkür]:[Pk-Kürname]],"ja")+COUNTIF(Teilnehmer[[#This Row],[Einzelkür]:[Pk-Kürname]],"&gt;0")</f>
        <v>0</v>
      </c>
      <c r="Q15" s="301">
        <f t="shared" si="2"/>
        <v>0</v>
      </c>
      <c r="R15" s="39">
        <f>IF(Teilnehmer[[#This Row],[BDR]]="Ja",Deckblatt!$C$21,Deckblatt!$C$22)</f>
        <v>25</v>
      </c>
      <c r="S15" s="45">
        <f>IF(Teilnehmer[[#This Row],[BDR]]="Ja",Deckblatt!$D$21,Deckblatt!$D$22)</f>
        <v>25</v>
      </c>
      <c r="X15" s="54" t="s">
        <v>101</v>
      </c>
      <c r="Y15" s="242" t="s">
        <v>90</v>
      </c>
      <c r="Z15" s="243">
        <v>12</v>
      </c>
    </row>
    <row r="16" spans="1:27" ht="18" customHeight="1" x14ac:dyDescent="0.3">
      <c r="A16" s="60" t="str">
        <f>$V$2&amp;15</f>
        <v>15</v>
      </c>
      <c r="B16" s="46"/>
      <c r="C16" s="46"/>
      <c r="D16" s="47"/>
      <c r="E16" s="279" t="str">
        <f t="shared" si="0"/>
        <v xml:space="preserve"> </v>
      </c>
      <c r="F16" s="4"/>
      <c r="G16" s="70"/>
      <c r="H16" s="250"/>
      <c r="I16" s="117"/>
      <c r="J16" s="251"/>
      <c r="K16" s="71" t="s">
        <v>11</v>
      </c>
      <c r="L16" s="71"/>
      <c r="M16" s="68"/>
      <c r="N16" s="72" t="str">
        <f t="shared" si="1"/>
        <v/>
      </c>
      <c r="O16" s="42"/>
      <c r="P16" s="39">
        <f>COUNTIF(Teilnehmer[[#This Row],[Einzelkür]:[Pk-Kürname]],"ja")+COUNTIF(Teilnehmer[[#This Row],[Einzelkür]:[Pk-Kürname]],"&gt;0")</f>
        <v>0</v>
      </c>
      <c r="Q16" s="301">
        <f t="shared" si="2"/>
        <v>0</v>
      </c>
      <c r="R16" s="39">
        <f>IF(Teilnehmer[[#This Row],[BDR]]="Ja",Deckblatt!$C$21,Deckblatt!$C$22)</f>
        <v>25</v>
      </c>
      <c r="S16" s="45">
        <f>IF(Teilnehmer[[#This Row],[BDR]]="Ja",Deckblatt!$D$21,Deckblatt!$D$22)</f>
        <v>25</v>
      </c>
      <c r="X16" s="54" t="s">
        <v>102</v>
      </c>
      <c r="Y16" s="242" t="s">
        <v>91</v>
      </c>
      <c r="Z16" s="243">
        <v>13</v>
      </c>
    </row>
    <row r="17" spans="1:26" ht="18" customHeight="1" x14ac:dyDescent="0.3">
      <c r="A17" s="60" t="str">
        <f>$V$2&amp;16</f>
        <v>16</v>
      </c>
      <c r="B17" s="46"/>
      <c r="C17" s="46"/>
      <c r="D17" s="47"/>
      <c r="E17" s="279" t="str">
        <f t="shared" si="0"/>
        <v xml:space="preserve"> </v>
      </c>
      <c r="F17" s="4"/>
      <c r="G17" s="70"/>
      <c r="H17" s="250"/>
      <c r="I17" s="117"/>
      <c r="J17" s="251"/>
      <c r="K17" s="71" t="s">
        <v>11</v>
      </c>
      <c r="L17" s="71"/>
      <c r="M17" s="68"/>
      <c r="N17" s="72" t="str">
        <f t="shared" si="1"/>
        <v/>
      </c>
      <c r="O17" s="42"/>
      <c r="P17" s="39">
        <f>COUNTIF(Teilnehmer[[#This Row],[Einzelkür]:[Pk-Kürname]],"ja")+COUNTIF(Teilnehmer[[#This Row],[Einzelkür]:[Pk-Kürname]],"&gt;0")</f>
        <v>0</v>
      </c>
      <c r="Q17" s="301">
        <f t="shared" si="2"/>
        <v>0</v>
      </c>
      <c r="R17" s="39">
        <f>IF(Teilnehmer[[#This Row],[BDR]]="Ja",Deckblatt!$C$21,Deckblatt!$C$22)</f>
        <v>25</v>
      </c>
      <c r="S17" s="45">
        <f>IF(Teilnehmer[[#This Row],[BDR]]="Ja",Deckblatt!$D$21,Deckblatt!$D$22)</f>
        <v>25</v>
      </c>
      <c r="X17" s="54" t="s">
        <v>103</v>
      </c>
      <c r="Y17" s="242" t="s">
        <v>92</v>
      </c>
      <c r="Z17" s="243">
        <v>14</v>
      </c>
    </row>
    <row r="18" spans="1:26" ht="18" customHeight="1" x14ac:dyDescent="0.3">
      <c r="A18" s="60" t="str">
        <f>$V$2&amp;17</f>
        <v>17</v>
      </c>
      <c r="B18" s="46"/>
      <c r="C18" s="46"/>
      <c r="D18" s="47"/>
      <c r="E18" s="279" t="str">
        <f t="shared" si="0"/>
        <v xml:space="preserve"> </v>
      </c>
      <c r="F18" s="4"/>
      <c r="G18" s="70"/>
      <c r="H18" s="250"/>
      <c r="I18" s="117"/>
      <c r="J18" s="251"/>
      <c r="K18" s="71" t="s">
        <v>11</v>
      </c>
      <c r="L18" s="71"/>
      <c r="M18" s="68"/>
      <c r="N18" s="72" t="str">
        <f t="shared" si="1"/>
        <v/>
      </c>
      <c r="O18" s="42"/>
      <c r="P18" s="39">
        <f>COUNTIF(Teilnehmer[[#This Row],[Einzelkür]:[Pk-Kürname]],"ja")+COUNTIF(Teilnehmer[[#This Row],[Einzelkür]:[Pk-Kürname]],"&gt;0")</f>
        <v>0</v>
      </c>
      <c r="Q18" s="301">
        <f t="shared" si="2"/>
        <v>0</v>
      </c>
      <c r="R18" s="39">
        <f>IF(Teilnehmer[[#This Row],[BDR]]="Ja",Deckblatt!$C$21,Deckblatt!$C$22)</f>
        <v>25</v>
      </c>
      <c r="S18" s="45">
        <f>IF(Teilnehmer[[#This Row],[BDR]]="Ja",Deckblatt!$D$21,Deckblatt!$D$22)</f>
        <v>25</v>
      </c>
      <c r="X18" s="54" t="s">
        <v>104</v>
      </c>
      <c r="Y18" s="242" t="s">
        <v>93</v>
      </c>
      <c r="Z18" s="243">
        <v>15</v>
      </c>
    </row>
    <row r="19" spans="1:26" ht="18" customHeight="1" x14ac:dyDescent="0.3">
      <c r="A19" s="60" t="str">
        <f>$V$2&amp;18</f>
        <v>18</v>
      </c>
      <c r="B19" s="46"/>
      <c r="C19" s="46"/>
      <c r="D19" s="47"/>
      <c r="E19" s="279" t="str">
        <f t="shared" si="0"/>
        <v xml:space="preserve"> </v>
      </c>
      <c r="F19" s="4"/>
      <c r="G19" s="70"/>
      <c r="H19" s="250"/>
      <c r="I19" s="117"/>
      <c r="J19" s="251"/>
      <c r="K19" s="71" t="s">
        <v>11</v>
      </c>
      <c r="L19" s="71"/>
      <c r="M19" s="68"/>
      <c r="N19" s="72" t="str">
        <f t="shared" si="1"/>
        <v/>
      </c>
      <c r="O19" s="42"/>
      <c r="P19" s="39">
        <f>COUNTIF(Teilnehmer[[#This Row],[Einzelkür]:[Pk-Kürname]],"ja")+COUNTIF(Teilnehmer[[#This Row],[Einzelkür]:[Pk-Kürname]],"&gt;0")</f>
        <v>0</v>
      </c>
      <c r="Q19" s="301">
        <f t="shared" si="2"/>
        <v>0</v>
      </c>
      <c r="R19" s="39">
        <f>IF(Teilnehmer[[#This Row],[BDR]]="Ja",Deckblatt!$C$21,Deckblatt!$C$22)</f>
        <v>25</v>
      </c>
      <c r="S19" s="45">
        <f>IF(Teilnehmer[[#This Row],[BDR]]="Ja",Deckblatt!$D$21,Deckblatt!$D$22)</f>
        <v>25</v>
      </c>
      <c r="X19" s="54" t="s">
        <v>105</v>
      </c>
      <c r="Y19" s="242" t="s">
        <v>94</v>
      </c>
      <c r="Z19" s="243">
        <v>16</v>
      </c>
    </row>
    <row r="20" spans="1:26" ht="18" customHeight="1" x14ac:dyDescent="0.3">
      <c r="A20" s="60" t="str">
        <f>$V$2&amp;19</f>
        <v>19</v>
      </c>
      <c r="B20" s="46"/>
      <c r="C20" s="46"/>
      <c r="D20" s="47"/>
      <c r="E20" s="279" t="str">
        <f t="shared" si="0"/>
        <v xml:space="preserve"> </v>
      </c>
      <c r="F20" s="4"/>
      <c r="G20" s="70"/>
      <c r="H20" s="250"/>
      <c r="I20" s="117"/>
      <c r="J20" s="251"/>
      <c r="K20" s="71" t="s">
        <v>11</v>
      </c>
      <c r="L20" s="71"/>
      <c r="M20" s="68"/>
      <c r="N20" s="72" t="str">
        <f t="shared" si="1"/>
        <v/>
      </c>
      <c r="O20" s="42"/>
      <c r="P20" s="39">
        <f>COUNTIF(Teilnehmer[[#This Row],[Einzelkür]:[Pk-Kürname]],"ja")+COUNTIF(Teilnehmer[[#This Row],[Einzelkür]:[Pk-Kürname]],"&gt;0")</f>
        <v>0</v>
      </c>
      <c r="Q20" s="301">
        <f t="shared" si="2"/>
        <v>0</v>
      </c>
      <c r="R20" s="39">
        <f>IF(Teilnehmer[[#This Row],[BDR]]="Ja",Deckblatt!$C$21,Deckblatt!$C$22)</f>
        <v>25</v>
      </c>
      <c r="S20" s="45">
        <f>IF(Teilnehmer[[#This Row],[BDR]]="Ja",Deckblatt!$D$21,Deckblatt!$D$22)</f>
        <v>25</v>
      </c>
      <c r="Z20" s="243">
        <v>17</v>
      </c>
    </row>
    <row r="21" spans="1:26" ht="18" customHeight="1" x14ac:dyDescent="0.3">
      <c r="A21" s="60" t="str">
        <f>$V$2&amp;20</f>
        <v>20</v>
      </c>
      <c r="B21" s="46"/>
      <c r="C21" s="46"/>
      <c r="D21" s="47"/>
      <c r="E21" s="279" t="str">
        <f t="shared" si="0"/>
        <v xml:space="preserve"> </v>
      </c>
      <c r="F21" s="4"/>
      <c r="G21" s="70"/>
      <c r="H21" s="250"/>
      <c r="I21" s="117"/>
      <c r="J21" s="251"/>
      <c r="K21" s="71" t="s">
        <v>11</v>
      </c>
      <c r="L21" s="71"/>
      <c r="M21" s="68"/>
      <c r="N21" s="72" t="str">
        <f t="shared" si="1"/>
        <v/>
      </c>
      <c r="O21" s="42"/>
      <c r="P21" s="39">
        <f>COUNTIF(Teilnehmer[[#This Row],[Einzelkür]:[Pk-Kürname]],"ja")+COUNTIF(Teilnehmer[[#This Row],[Einzelkür]:[Pk-Kürname]],"&gt;0")</f>
        <v>0</v>
      </c>
      <c r="Q21" s="301">
        <f t="shared" si="2"/>
        <v>0</v>
      </c>
      <c r="R21" s="39">
        <f>IF(Teilnehmer[[#This Row],[BDR]]="Ja",Deckblatt!$C$21,Deckblatt!$C$22)</f>
        <v>25</v>
      </c>
      <c r="S21" s="45">
        <f>IF(Teilnehmer[[#This Row],[BDR]]="Ja",Deckblatt!$D$21,Deckblatt!$D$22)</f>
        <v>25</v>
      </c>
      <c r="Z21" s="243">
        <v>18</v>
      </c>
    </row>
    <row r="22" spans="1:26" ht="18" customHeight="1" x14ac:dyDescent="0.3">
      <c r="A22" s="60" t="str">
        <f>$V$2&amp;21</f>
        <v>21</v>
      </c>
      <c r="B22" s="46"/>
      <c r="C22" s="46"/>
      <c r="D22" s="47"/>
      <c r="E22" s="279" t="str">
        <f t="shared" si="0"/>
        <v xml:space="preserve"> </v>
      </c>
      <c r="F22" s="4"/>
      <c r="G22" s="70"/>
      <c r="H22" s="250"/>
      <c r="I22" s="117"/>
      <c r="J22" s="251"/>
      <c r="K22" s="71" t="s">
        <v>11</v>
      </c>
      <c r="L22" s="71"/>
      <c r="M22" s="68"/>
      <c r="N22" s="72" t="str">
        <f t="shared" si="1"/>
        <v/>
      </c>
      <c r="O22" s="42"/>
      <c r="P22" s="39">
        <f>COUNTIF(Teilnehmer[[#This Row],[Einzelkür]:[Pk-Kürname]],"ja")+COUNTIF(Teilnehmer[[#This Row],[Einzelkür]:[Pk-Kürname]],"&gt;0")</f>
        <v>0</v>
      </c>
      <c r="Q22" s="301">
        <f t="shared" si="2"/>
        <v>0</v>
      </c>
      <c r="R22" s="39">
        <f>IF(Teilnehmer[[#This Row],[BDR]]="Ja",Deckblatt!$C$21,Deckblatt!$C$22)</f>
        <v>25</v>
      </c>
      <c r="S22" s="45">
        <f>IF(Teilnehmer[[#This Row],[BDR]]="Ja",Deckblatt!$D$21,Deckblatt!$D$22)</f>
        <v>25</v>
      </c>
      <c r="Z22" s="243">
        <v>19</v>
      </c>
    </row>
    <row r="23" spans="1:26" ht="18" customHeight="1" x14ac:dyDescent="0.3">
      <c r="A23" s="60" t="str">
        <f>$V$2&amp;22</f>
        <v>22</v>
      </c>
      <c r="B23" s="46"/>
      <c r="C23" s="46"/>
      <c r="D23" s="47"/>
      <c r="E23" s="279" t="str">
        <f t="shared" si="0"/>
        <v xml:space="preserve"> </v>
      </c>
      <c r="F23" s="4"/>
      <c r="G23" s="70"/>
      <c r="H23" s="250"/>
      <c r="I23" s="117"/>
      <c r="J23" s="251"/>
      <c r="K23" s="71" t="s">
        <v>11</v>
      </c>
      <c r="L23" s="71"/>
      <c r="M23" s="68"/>
      <c r="N23" s="72" t="str">
        <f t="shared" si="1"/>
        <v/>
      </c>
      <c r="O23" s="42"/>
      <c r="P23" s="39">
        <f>COUNTIF(Teilnehmer[[#This Row],[Einzelkür]:[Pk-Kürname]],"ja")+COUNTIF(Teilnehmer[[#This Row],[Einzelkür]:[Pk-Kürname]],"&gt;0")</f>
        <v>0</v>
      </c>
      <c r="Q23" s="301">
        <f t="shared" si="2"/>
        <v>0</v>
      </c>
      <c r="R23" s="39">
        <f>IF(Teilnehmer[[#This Row],[BDR]]="Ja",Deckblatt!$C$21,Deckblatt!$C$22)</f>
        <v>25</v>
      </c>
      <c r="S23" s="45">
        <f>IF(Teilnehmer[[#This Row],[BDR]]="Ja",Deckblatt!$D$21,Deckblatt!$D$22)</f>
        <v>25</v>
      </c>
      <c r="Z23" s="243">
        <v>20</v>
      </c>
    </row>
    <row r="24" spans="1:26" ht="18" customHeight="1" x14ac:dyDescent="0.3">
      <c r="A24" s="60" t="str">
        <f>$V$2&amp;23</f>
        <v>23</v>
      </c>
      <c r="B24" s="46"/>
      <c r="C24" s="46"/>
      <c r="D24" s="47"/>
      <c r="E24" s="279" t="str">
        <f t="shared" si="0"/>
        <v xml:space="preserve"> </v>
      </c>
      <c r="F24" s="4"/>
      <c r="G24" s="70"/>
      <c r="H24" s="250"/>
      <c r="I24" s="117"/>
      <c r="J24" s="251"/>
      <c r="K24" s="71" t="s">
        <v>11</v>
      </c>
      <c r="L24" s="71"/>
      <c r="M24" s="68"/>
      <c r="N24" s="72" t="str">
        <f t="shared" si="1"/>
        <v/>
      </c>
      <c r="O24" s="42"/>
      <c r="P24" s="39">
        <f>COUNTIF(Teilnehmer[[#This Row],[Einzelkür]:[Pk-Kürname]],"ja")+COUNTIF(Teilnehmer[[#This Row],[Einzelkür]:[Pk-Kürname]],"&gt;0")</f>
        <v>0</v>
      </c>
      <c r="Q24" s="301">
        <f t="shared" si="2"/>
        <v>0</v>
      </c>
      <c r="R24" s="39">
        <f>IF(Teilnehmer[[#This Row],[BDR]]="Ja",Deckblatt!$C$21,Deckblatt!$C$22)</f>
        <v>25</v>
      </c>
      <c r="S24" s="45">
        <f>IF(Teilnehmer[[#This Row],[BDR]]="Ja",Deckblatt!$D$21,Deckblatt!$D$22)</f>
        <v>25</v>
      </c>
      <c r="Z24" s="243">
        <v>21</v>
      </c>
    </row>
    <row r="25" spans="1:26" ht="18" customHeight="1" x14ac:dyDescent="0.3">
      <c r="A25" s="60" t="str">
        <f>$V$2&amp;24</f>
        <v>24</v>
      </c>
      <c r="B25" s="46"/>
      <c r="C25" s="46"/>
      <c r="D25" s="47"/>
      <c r="E25" s="279" t="str">
        <f t="shared" si="0"/>
        <v xml:space="preserve"> </v>
      </c>
      <c r="F25" s="4"/>
      <c r="G25" s="70"/>
      <c r="H25" s="250"/>
      <c r="I25" s="117"/>
      <c r="J25" s="251"/>
      <c r="K25" s="71" t="s">
        <v>11</v>
      </c>
      <c r="L25" s="71"/>
      <c r="M25" s="68"/>
      <c r="N25" s="72" t="str">
        <f t="shared" si="1"/>
        <v/>
      </c>
      <c r="O25" s="42"/>
      <c r="P25" s="39">
        <f>COUNTIF(Teilnehmer[[#This Row],[Einzelkür]:[Pk-Kürname]],"ja")+COUNTIF(Teilnehmer[[#This Row],[Einzelkür]:[Pk-Kürname]],"&gt;0")</f>
        <v>0</v>
      </c>
      <c r="Q25" s="301">
        <f t="shared" si="2"/>
        <v>0</v>
      </c>
      <c r="R25" s="39">
        <f>IF(Teilnehmer[[#This Row],[BDR]]="Ja",Deckblatt!$C$21,Deckblatt!$C$22)</f>
        <v>25</v>
      </c>
      <c r="S25" s="45">
        <f>IF(Teilnehmer[[#This Row],[BDR]]="Ja",Deckblatt!$D$21,Deckblatt!$D$22)</f>
        <v>25</v>
      </c>
      <c r="Z25" s="243">
        <v>22</v>
      </c>
    </row>
    <row r="26" spans="1:26" ht="18" customHeight="1" x14ac:dyDescent="0.3">
      <c r="A26" s="60" t="str">
        <f>$V$2&amp;25</f>
        <v>25</v>
      </c>
      <c r="B26" s="46"/>
      <c r="C26" s="46"/>
      <c r="D26" s="47"/>
      <c r="E26" s="279" t="str">
        <f t="shared" si="0"/>
        <v xml:space="preserve"> </v>
      </c>
      <c r="F26" s="4"/>
      <c r="G26" s="70"/>
      <c r="H26" s="250"/>
      <c r="I26" s="117"/>
      <c r="J26" s="251"/>
      <c r="K26" s="71" t="s">
        <v>11</v>
      </c>
      <c r="L26" s="71"/>
      <c r="M26" s="68"/>
      <c r="N26" s="72" t="str">
        <f t="shared" si="1"/>
        <v/>
      </c>
      <c r="O26" s="42"/>
      <c r="P26" s="39">
        <f>COUNTIF(Teilnehmer[[#This Row],[Einzelkür]:[Pk-Kürname]],"ja")+COUNTIF(Teilnehmer[[#This Row],[Einzelkür]:[Pk-Kürname]],"&gt;0")</f>
        <v>0</v>
      </c>
      <c r="Q26" s="301">
        <f t="shared" si="2"/>
        <v>0</v>
      </c>
      <c r="R26" s="39">
        <f>IF(Teilnehmer[[#This Row],[BDR]]="Ja",Deckblatt!$C$21,Deckblatt!$C$22)</f>
        <v>25</v>
      </c>
      <c r="S26" s="45">
        <f>IF(Teilnehmer[[#This Row],[BDR]]="Ja",Deckblatt!$D$21,Deckblatt!$D$22)</f>
        <v>25</v>
      </c>
      <c r="Z26" s="243">
        <v>23</v>
      </c>
    </row>
    <row r="27" spans="1:26" ht="18" customHeight="1" x14ac:dyDescent="0.3">
      <c r="A27" s="60" t="str">
        <f>$V$2&amp;26</f>
        <v>26</v>
      </c>
      <c r="B27" s="46"/>
      <c r="C27" s="46"/>
      <c r="D27" s="47"/>
      <c r="E27" s="279" t="str">
        <f t="shared" si="0"/>
        <v xml:space="preserve"> </v>
      </c>
      <c r="F27" s="4"/>
      <c r="G27" s="70"/>
      <c r="H27" s="250"/>
      <c r="I27" s="117"/>
      <c r="J27" s="251"/>
      <c r="K27" s="71" t="s">
        <v>11</v>
      </c>
      <c r="L27" s="71"/>
      <c r="M27" s="68"/>
      <c r="N27" s="72" t="str">
        <f t="shared" si="1"/>
        <v/>
      </c>
      <c r="O27" s="42"/>
      <c r="P27" s="39">
        <f>COUNTIF(Teilnehmer[[#This Row],[Einzelkür]:[Pk-Kürname]],"ja")+COUNTIF(Teilnehmer[[#This Row],[Einzelkür]:[Pk-Kürname]],"&gt;0")</f>
        <v>0</v>
      </c>
      <c r="Q27" s="301">
        <f t="shared" si="2"/>
        <v>0</v>
      </c>
      <c r="R27" s="39">
        <f>IF(Teilnehmer[[#This Row],[BDR]]="Ja",Deckblatt!$C$21,Deckblatt!$C$22)</f>
        <v>25</v>
      </c>
      <c r="S27" s="45">
        <f>IF(Teilnehmer[[#This Row],[BDR]]="Ja",Deckblatt!$D$21,Deckblatt!$D$22)</f>
        <v>25</v>
      </c>
      <c r="Z27" s="243">
        <v>24</v>
      </c>
    </row>
    <row r="28" spans="1:26" ht="18" customHeight="1" x14ac:dyDescent="0.3">
      <c r="A28" s="60" t="str">
        <f>$V$2&amp;27</f>
        <v>27</v>
      </c>
      <c r="B28" s="46"/>
      <c r="C28" s="46"/>
      <c r="D28" s="47"/>
      <c r="E28" s="279" t="str">
        <f t="shared" si="0"/>
        <v xml:space="preserve"> </v>
      </c>
      <c r="F28" s="4"/>
      <c r="G28" s="70"/>
      <c r="H28" s="250"/>
      <c r="I28" s="117"/>
      <c r="J28" s="251"/>
      <c r="K28" s="71" t="s">
        <v>11</v>
      </c>
      <c r="L28" s="71"/>
      <c r="M28" s="68"/>
      <c r="N28" s="72" t="str">
        <f t="shared" si="1"/>
        <v/>
      </c>
      <c r="O28" s="42"/>
      <c r="P28" s="39">
        <f>COUNTIF(Teilnehmer[[#This Row],[Einzelkür]:[Pk-Kürname]],"ja")+COUNTIF(Teilnehmer[[#This Row],[Einzelkür]:[Pk-Kürname]],"&gt;0")</f>
        <v>0</v>
      </c>
      <c r="Q28" s="301">
        <f t="shared" si="2"/>
        <v>0</v>
      </c>
      <c r="R28" s="39">
        <f>IF(Teilnehmer[[#This Row],[BDR]]="Ja",Deckblatt!$C$21,Deckblatt!$C$22)</f>
        <v>25</v>
      </c>
      <c r="S28" s="45">
        <f>IF(Teilnehmer[[#This Row],[BDR]]="Ja",Deckblatt!$D$21,Deckblatt!$D$22)</f>
        <v>25</v>
      </c>
    </row>
    <row r="29" spans="1:26" ht="18" customHeight="1" x14ac:dyDescent="0.3">
      <c r="A29" s="60" t="str">
        <f>$V$2&amp;28</f>
        <v>28</v>
      </c>
      <c r="B29" s="46"/>
      <c r="C29" s="46"/>
      <c r="D29" s="47"/>
      <c r="E29" s="279" t="str">
        <f t="shared" si="0"/>
        <v xml:space="preserve"> </v>
      </c>
      <c r="F29" s="4"/>
      <c r="G29" s="70"/>
      <c r="H29" s="250"/>
      <c r="I29" s="117"/>
      <c r="J29" s="251"/>
      <c r="K29" s="71" t="s">
        <v>11</v>
      </c>
      <c r="L29" s="71"/>
      <c r="M29" s="68"/>
      <c r="N29" s="72" t="str">
        <f t="shared" si="1"/>
        <v/>
      </c>
      <c r="O29" s="42"/>
      <c r="P29" s="39">
        <f>COUNTIF(Teilnehmer[[#This Row],[Einzelkür]:[Pk-Kürname]],"ja")+COUNTIF(Teilnehmer[[#This Row],[Einzelkür]:[Pk-Kürname]],"&gt;0")</f>
        <v>0</v>
      </c>
      <c r="Q29" s="301">
        <f t="shared" si="2"/>
        <v>0</v>
      </c>
      <c r="R29" s="39">
        <f>IF(Teilnehmer[[#This Row],[BDR]]="Ja",Deckblatt!$C$21,Deckblatt!$C$22)</f>
        <v>25</v>
      </c>
      <c r="S29" s="45">
        <f>IF(Teilnehmer[[#This Row],[BDR]]="Ja",Deckblatt!$D$21,Deckblatt!$D$22)</f>
        <v>25</v>
      </c>
    </row>
    <row r="30" spans="1:26" ht="18" customHeight="1" x14ac:dyDescent="0.3">
      <c r="A30" s="60" t="str">
        <f>$V$2&amp;29</f>
        <v>29</v>
      </c>
      <c r="B30" s="46"/>
      <c r="C30" s="46"/>
      <c r="D30" s="47"/>
      <c r="E30" s="279" t="str">
        <f t="shared" si="0"/>
        <v xml:space="preserve"> </v>
      </c>
      <c r="F30" s="4"/>
      <c r="G30" s="70"/>
      <c r="H30" s="250"/>
      <c r="I30" s="117"/>
      <c r="J30" s="251"/>
      <c r="K30" s="71" t="s">
        <v>11</v>
      </c>
      <c r="L30" s="71"/>
      <c r="M30" s="68"/>
      <c r="N30" s="72" t="str">
        <f t="shared" si="1"/>
        <v/>
      </c>
      <c r="O30" s="42"/>
      <c r="P30" s="39">
        <f>COUNTIF(Teilnehmer[[#This Row],[Einzelkür]:[Pk-Kürname]],"ja")+COUNTIF(Teilnehmer[[#This Row],[Einzelkür]:[Pk-Kürname]],"&gt;0")</f>
        <v>0</v>
      </c>
      <c r="Q30" s="301">
        <f t="shared" si="2"/>
        <v>0</v>
      </c>
      <c r="R30" s="39">
        <f>IF(Teilnehmer[[#This Row],[BDR]]="Ja",Deckblatt!$C$21,Deckblatt!$C$22)</f>
        <v>25</v>
      </c>
      <c r="S30" s="45">
        <f>IF(Teilnehmer[[#This Row],[BDR]]="Ja",Deckblatt!$D$21,Deckblatt!$D$22)</f>
        <v>25</v>
      </c>
    </row>
    <row r="31" spans="1:26" ht="18" customHeight="1" x14ac:dyDescent="0.3">
      <c r="A31" s="60" t="str">
        <f>$V$2&amp;30</f>
        <v>30</v>
      </c>
      <c r="B31" s="6"/>
      <c r="C31" s="6"/>
      <c r="D31" s="240"/>
      <c r="E31" s="279" t="str">
        <f t="shared" si="0"/>
        <v xml:space="preserve"> </v>
      </c>
      <c r="F31" s="4"/>
      <c r="G31" s="70"/>
      <c r="H31" s="250"/>
      <c r="I31" s="117"/>
      <c r="J31" s="251"/>
      <c r="K31" s="71" t="s">
        <v>11</v>
      </c>
      <c r="L31" s="71"/>
      <c r="M31" s="68"/>
      <c r="N31" s="72" t="str">
        <f t="shared" si="1"/>
        <v/>
      </c>
      <c r="O31" s="42"/>
      <c r="P31" s="39">
        <f>COUNTIF(Teilnehmer[[#This Row],[Einzelkür]:[Pk-Kürname]],"ja")+COUNTIF(Teilnehmer[[#This Row],[Einzelkür]:[Pk-Kürname]],"&gt;0")</f>
        <v>0</v>
      </c>
      <c r="Q31" s="301">
        <f t="shared" si="2"/>
        <v>0</v>
      </c>
      <c r="R31" s="5">
        <f>IF(Teilnehmer[[#This Row],[BDR]]="Ja",Deckblatt!$C$21,Deckblatt!$C$22)</f>
        <v>25</v>
      </c>
      <c r="S31" s="241">
        <f>IF(Teilnehmer[[#This Row],[BDR]]="Ja",Deckblatt!$D$21,Deckblatt!$D$22)</f>
        <v>25</v>
      </c>
    </row>
    <row r="32" spans="1:26" ht="18" customHeight="1" x14ac:dyDescent="0.3">
      <c r="A32" s="60" t="str">
        <f>$V$2&amp;31</f>
        <v>31</v>
      </c>
      <c r="B32" s="6"/>
      <c r="C32" s="6"/>
      <c r="D32" s="240"/>
      <c r="E32" s="279" t="str">
        <f t="shared" si="0"/>
        <v xml:space="preserve"> </v>
      </c>
      <c r="F32" s="4"/>
      <c r="G32" s="70"/>
      <c r="H32" s="250"/>
      <c r="I32" s="117"/>
      <c r="J32" s="251"/>
      <c r="K32" s="71" t="s">
        <v>11</v>
      </c>
      <c r="L32" s="71"/>
      <c r="M32" s="68"/>
      <c r="N32" s="72" t="str">
        <f t="shared" si="1"/>
        <v/>
      </c>
      <c r="O32" s="42"/>
      <c r="P32" s="39">
        <f>COUNTIF(Teilnehmer[[#This Row],[Einzelkür]:[Pk-Kürname]],"ja")+COUNTIF(Teilnehmer[[#This Row],[Einzelkür]:[Pk-Kürname]],"&gt;0")</f>
        <v>0</v>
      </c>
      <c r="Q32" s="301">
        <f t="shared" si="2"/>
        <v>0</v>
      </c>
      <c r="R32" s="5">
        <f>IF(Teilnehmer[[#This Row],[BDR]]="Ja",Deckblatt!$C$21,Deckblatt!$C$22)</f>
        <v>25</v>
      </c>
      <c r="S32" s="241">
        <f>IF(Teilnehmer[[#This Row],[BDR]]="Ja",Deckblatt!$D$21,Deckblatt!$D$22)</f>
        <v>25</v>
      </c>
    </row>
    <row r="33" spans="1:26" ht="18" customHeight="1" x14ac:dyDescent="0.3">
      <c r="A33" s="60" t="str">
        <f>$V$2&amp;32</f>
        <v>32</v>
      </c>
      <c r="B33" s="6"/>
      <c r="C33" s="6"/>
      <c r="D33" s="240"/>
      <c r="E33" s="279" t="str">
        <f t="shared" si="0"/>
        <v xml:space="preserve"> </v>
      </c>
      <c r="F33" s="4"/>
      <c r="G33" s="70"/>
      <c r="H33" s="250"/>
      <c r="I33" s="117"/>
      <c r="J33" s="251"/>
      <c r="K33" s="71" t="s">
        <v>11</v>
      </c>
      <c r="L33" s="71"/>
      <c r="M33" s="68"/>
      <c r="N33" s="72" t="str">
        <f t="shared" si="1"/>
        <v/>
      </c>
      <c r="O33" s="42"/>
      <c r="P33" s="39">
        <f>COUNTIF(Teilnehmer[[#This Row],[Einzelkür]:[Pk-Kürname]],"ja")+COUNTIF(Teilnehmer[[#This Row],[Einzelkür]:[Pk-Kürname]],"&gt;0")</f>
        <v>0</v>
      </c>
      <c r="Q33" s="301">
        <f t="shared" si="2"/>
        <v>0</v>
      </c>
      <c r="R33" s="5">
        <f>IF(Teilnehmer[[#This Row],[BDR]]="Ja",Deckblatt!$C$21,Deckblatt!$C$22)</f>
        <v>25</v>
      </c>
      <c r="S33" s="241">
        <f>IF(Teilnehmer[[#This Row],[BDR]]="Ja",Deckblatt!$D$21,Deckblatt!$D$22)</f>
        <v>25</v>
      </c>
      <c r="Z33" s="232" t="s">
        <v>11</v>
      </c>
    </row>
    <row r="34" spans="1:26" ht="18" customHeight="1" x14ac:dyDescent="0.3">
      <c r="A34" s="60" t="str">
        <f>$V$2&amp;33</f>
        <v>33</v>
      </c>
      <c r="B34" s="6"/>
      <c r="C34" s="6"/>
      <c r="D34" s="240"/>
      <c r="E34" s="279" t="str">
        <f t="shared" ref="E34:E51" si="3">IF( D34&gt;1940,DATEDIF(D34,W$1,"y")," ")</f>
        <v xml:space="preserve"> </v>
      </c>
      <c r="F34" s="4"/>
      <c r="G34" s="70"/>
      <c r="H34" s="250"/>
      <c r="I34" s="117"/>
      <c r="J34" s="251"/>
      <c r="K34" s="71" t="s">
        <v>11</v>
      </c>
      <c r="L34" s="71"/>
      <c r="M34" s="68"/>
      <c r="N34" s="72" t="str">
        <f t="shared" ref="N34:N51" si="4">IF($M34="","",(IF(P34+Q34=0,0,IF(P34&gt;0,$R34,$S34))))</f>
        <v/>
      </c>
      <c r="O34" s="42"/>
      <c r="P34" s="39">
        <f>COUNTIF(Teilnehmer[[#This Row],[Einzelkür]:[Pk-Kürname]],"ja")+COUNTIF(Teilnehmer[[#This Row],[Einzelkür]:[Pk-Kürname]],"&gt;0")</f>
        <v>0</v>
      </c>
      <c r="Q34" s="301">
        <f t="shared" si="2"/>
        <v>0</v>
      </c>
      <c r="R34" s="5">
        <f>IF(Teilnehmer[[#This Row],[BDR]]="Ja",Deckblatt!$C$21,Deckblatt!$C$22)</f>
        <v>25</v>
      </c>
      <c r="S34" s="241">
        <f>IF(Teilnehmer[[#This Row],[BDR]]="Ja",Deckblatt!$D$21,Deckblatt!$D$22)</f>
        <v>25</v>
      </c>
    </row>
    <row r="35" spans="1:26" ht="18" customHeight="1" x14ac:dyDescent="0.3">
      <c r="A35" s="60" t="str">
        <f>$V$2&amp;34</f>
        <v>34</v>
      </c>
      <c r="B35" s="6"/>
      <c r="C35" s="6"/>
      <c r="D35" s="240"/>
      <c r="E35" s="279" t="str">
        <f t="shared" si="3"/>
        <v xml:space="preserve"> </v>
      </c>
      <c r="F35" s="4"/>
      <c r="G35" s="70"/>
      <c r="H35" s="250"/>
      <c r="I35" s="117"/>
      <c r="J35" s="251"/>
      <c r="K35" s="71" t="s">
        <v>11</v>
      </c>
      <c r="L35" s="71"/>
      <c r="M35" s="68"/>
      <c r="N35" s="72" t="str">
        <f t="shared" si="4"/>
        <v/>
      </c>
      <c r="O35" s="42"/>
      <c r="P35" s="39">
        <f>COUNTIF(Teilnehmer[[#This Row],[Einzelkür]:[Pk-Kürname]],"ja")+COUNTIF(Teilnehmer[[#This Row],[Einzelkür]:[Pk-Kürname]],"&gt;0")</f>
        <v>0</v>
      </c>
      <c r="Q35" s="301">
        <f t="shared" si="2"/>
        <v>0</v>
      </c>
      <c r="R35" s="5">
        <f>IF(Teilnehmer[[#This Row],[BDR]]="Ja",Deckblatt!$C$21,Deckblatt!$C$22)</f>
        <v>25</v>
      </c>
      <c r="S35" s="241">
        <f>IF(Teilnehmer[[#This Row],[BDR]]="Ja",Deckblatt!$D$21,Deckblatt!$D$22)</f>
        <v>25</v>
      </c>
    </row>
    <row r="36" spans="1:26" ht="18" customHeight="1" x14ac:dyDescent="0.3">
      <c r="A36" s="60" t="str">
        <f>$V$2&amp;35</f>
        <v>35</v>
      </c>
      <c r="B36" s="6"/>
      <c r="C36" s="6"/>
      <c r="D36" s="240"/>
      <c r="E36" s="279" t="str">
        <f t="shared" si="3"/>
        <v xml:space="preserve"> </v>
      </c>
      <c r="F36" s="4"/>
      <c r="G36" s="70"/>
      <c r="H36" s="250"/>
      <c r="I36" s="117"/>
      <c r="J36" s="251"/>
      <c r="K36" s="71" t="s">
        <v>11</v>
      </c>
      <c r="L36" s="71"/>
      <c r="M36" s="68"/>
      <c r="N36" s="72" t="str">
        <f t="shared" si="4"/>
        <v/>
      </c>
      <c r="O36" s="42"/>
      <c r="P36" s="39">
        <f>COUNTIF(Teilnehmer[[#This Row],[Einzelkür]:[Pk-Kürname]],"ja")+COUNTIF(Teilnehmer[[#This Row],[Einzelkür]:[Pk-Kürname]],"&gt;0")</f>
        <v>0</v>
      </c>
      <c r="Q36" s="301">
        <f t="shared" si="2"/>
        <v>0</v>
      </c>
      <c r="R36" s="5">
        <f>IF(Teilnehmer[[#This Row],[BDR]]="Ja",Deckblatt!$C$21,Deckblatt!$C$22)</f>
        <v>25</v>
      </c>
      <c r="S36" s="241">
        <f>IF(Teilnehmer[[#This Row],[BDR]]="Ja",Deckblatt!$D$21,Deckblatt!$D$22)</f>
        <v>25</v>
      </c>
    </row>
    <row r="37" spans="1:26" ht="18" customHeight="1" x14ac:dyDescent="0.3">
      <c r="A37" s="60" t="str">
        <f>$V$2&amp;36</f>
        <v>36</v>
      </c>
      <c r="B37" s="6"/>
      <c r="C37" s="6"/>
      <c r="D37" s="240"/>
      <c r="E37" s="279" t="str">
        <f t="shared" si="3"/>
        <v xml:space="preserve"> </v>
      </c>
      <c r="F37" s="4"/>
      <c r="G37" s="70"/>
      <c r="H37" s="250"/>
      <c r="I37" s="117"/>
      <c r="J37" s="251"/>
      <c r="K37" s="71" t="s">
        <v>11</v>
      </c>
      <c r="L37" s="71"/>
      <c r="M37" s="68"/>
      <c r="N37" s="72" t="str">
        <f t="shared" si="4"/>
        <v/>
      </c>
      <c r="O37" s="42"/>
      <c r="P37" s="39">
        <f>COUNTIF(Teilnehmer[[#This Row],[Einzelkür]:[Pk-Kürname]],"ja")+COUNTIF(Teilnehmer[[#This Row],[Einzelkür]:[Pk-Kürname]],"&gt;0")</f>
        <v>0</v>
      </c>
      <c r="Q37" s="301">
        <f t="shared" si="2"/>
        <v>0</v>
      </c>
      <c r="R37" s="5">
        <f>IF(Teilnehmer[[#This Row],[BDR]]="Ja",Deckblatt!$C$21,Deckblatt!$C$22)</f>
        <v>25</v>
      </c>
      <c r="S37" s="241">
        <f>IF(Teilnehmer[[#This Row],[BDR]]="Ja",Deckblatt!$D$21,Deckblatt!$D$22)</f>
        <v>25</v>
      </c>
    </row>
    <row r="38" spans="1:26" ht="18" customHeight="1" x14ac:dyDescent="0.3">
      <c r="A38" s="60" t="str">
        <f>$V$2&amp;37</f>
        <v>37</v>
      </c>
      <c r="B38" s="6"/>
      <c r="C38" s="6"/>
      <c r="D38" s="240"/>
      <c r="E38" s="279" t="str">
        <f t="shared" si="3"/>
        <v xml:space="preserve"> </v>
      </c>
      <c r="F38" s="4"/>
      <c r="G38" s="70"/>
      <c r="H38" s="250"/>
      <c r="I38" s="117"/>
      <c r="J38" s="251"/>
      <c r="K38" s="71" t="s">
        <v>11</v>
      </c>
      <c r="L38" s="71"/>
      <c r="M38" s="68"/>
      <c r="N38" s="72" t="str">
        <f t="shared" si="4"/>
        <v/>
      </c>
      <c r="O38" s="42"/>
      <c r="P38" s="39">
        <f>COUNTIF(Teilnehmer[[#This Row],[Einzelkür]:[Pk-Kürname]],"ja")+COUNTIF(Teilnehmer[[#This Row],[Einzelkür]:[Pk-Kürname]],"&gt;0")</f>
        <v>0</v>
      </c>
      <c r="Q38" s="301">
        <f t="shared" si="2"/>
        <v>0</v>
      </c>
      <c r="R38" s="5">
        <f>IF(Teilnehmer[[#This Row],[BDR]]="Ja",Deckblatt!$C$21,Deckblatt!$C$22)</f>
        <v>25</v>
      </c>
      <c r="S38" s="241">
        <f>IF(Teilnehmer[[#This Row],[BDR]]="Ja",Deckblatt!$D$21,Deckblatt!$D$22)</f>
        <v>25</v>
      </c>
    </row>
    <row r="39" spans="1:26" ht="18" customHeight="1" x14ac:dyDescent="0.3">
      <c r="A39" s="60" t="str">
        <f>$V$2&amp;38</f>
        <v>38</v>
      </c>
      <c r="B39" s="6"/>
      <c r="C39" s="6"/>
      <c r="D39" s="240"/>
      <c r="E39" s="279" t="str">
        <f t="shared" si="3"/>
        <v xml:space="preserve"> </v>
      </c>
      <c r="F39" s="4"/>
      <c r="G39" s="70"/>
      <c r="H39" s="250"/>
      <c r="I39" s="117"/>
      <c r="J39" s="251"/>
      <c r="K39" s="71" t="s">
        <v>11</v>
      </c>
      <c r="L39" s="71"/>
      <c r="M39" s="68"/>
      <c r="N39" s="72" t="str">
        <f t="shared" si="4"/>
        <v/>
      </c>
      <c r="O39" s="42"/>
      <c r="P39" s="39">
        <f>COUNTIF(Teilnehmer[[#This Row],[Einzelkür]:[Pk-Kürname]],"ja")+COUNTIF(Teilnehmer[[#This Row],[Einzelkür]:[Pk-Kürname]],"&gt;0")</f>
        <v>0</v>
      </c>
      <c r="Q39" s="301">
        <f t="shared" si="2"/>
        <v>0</v>
      </c>
      <c r="R39" s="5">
        <f>IF(Teilnehmer[[#This Row],[BDR]]="Ja",Deckblatt!$C$21,Deckblatt!$C$22)</f>
        <v>25</v>
      </c>
      <c r="S39" s="241">
        <f>IF(Teilnehmer[[#This Row],[BDR]]="Ja",Deckblatt!$D$21,Deckblatt!$D$22)</f>
        <v>25</v>
      </c>
    </row>
    <row r="40" spans="1:26" ht="18" customHeight="1" x14ac:dyDescent="0.3">
      <c r="A40" s="60" t="str">
        <f>$V$2&amp;39</f>
        <v>39</v>
      </c>
      <c r="B40" s="6"/>
      <c r="C40" s="6"/>
      <c r="D40" s="240"/>
      <c r="E40" s="279" t="str">
        <f t="shared" si="3"/>
        <v xml:space="preserve"> </v>
      </c>
      <c r="F40" s="4"/>
      <c r="G40" s="70"/>
      <c r="H40" s="250"/>
      <c r="I40" s="117"/>
      <c r="J40" s="251"/>
      <c r="K40" s="71" t="s">
        <v>11</v>
      </c>
      <c r="L40" s="71"/>
      <c r="M40" s="68"/>
      <c r="N40" s="72" t="str">
        <f t="shared" si="4"/>
        <v/>
      </c>
      <c r="O40" s="42"/>
      <c r="P40" s="39">
        <f>COUNTIF(Teilnehmer[[#This Row],[Einzelkür]:[Pk-Kürname]],"ja")+COUNTIF(Teilnehmer[[#This Row],[Einzelkür]:[Pk-Kürname]],"&gt;0")</f>
        <v>0</v>
      </c>
      <c r="Q40" s="301">
        <f t="shared" si="2"/>
        <v>0</v>
      </c>
      <c r="R40" s="5">
        <f>IF(Teilnehmer[[#This Row],[BDR]]="Ja",Deckblatt!$C$21,Deckblatt!$C$22)</f>
        <v>25</v>
      </c>
      <c r="S40" s="241">
        <f>IF(Teilnehmer[[#This Row],[BDR]]="Ja",Deckblatt!$D$21,Deckblatt!$D$22)</f>
        <v>25</v>
      </c>
    </row>
    <row r="41" spans="1:26" ht="18" customHeight="1" x14ac:dyDescent="0.3">
      <c r="A41" s="60" t="str">
        <f>$V$2&amp;40</f>
        <v>40</v>
      </c>
      <c r="B41" s="6"/>
      <c r="C41" s="6"/>
      <c r="D41" s="240"/>
      <c r="E41" s="279" t="str">
        <f t="shared" si="3"/>
        <v xml:space="preserve"> </v>
      </c>
      <c r="F41" s="4"/>
      <c r="G41" s="70"/>
      <c r="H41" s="250"/>
      <c r="I41" s="117"/>
      <c r="J41" s="251"/>
      <c r="K41" s="71" t="s">
        <v>11</v>
      </c>
      <c r="L41" s="71"/>
      <c r="M41" s="68"/>
      <c r="N41" s="72" t="str">
        <f t="shared" si="4"/>
        <v/>
      </c>
      <c r="O41" s="42"/>
      <c r="P41" s="39">
        <f>COUNTIF(Teilnehmer[[#This Row],[Einzelkür]:[Pk-Kürname]],"ja")+COUNTIF(Teilnehmer[[#This Row],[Einzelkür]:[Pk-Kürname]],"&gt;0")</f>
        <v>0</v>
      </c>
      <c r="Q41" s="301">
        <f t="shared" si="2"/>
        <v>0</v>
      </c>
      <c r="R41" s="5">
        <f>IF(Teilnehmer[[#This Row],[BDR]]="Ja",Deckblatt!$C$21,Deckblatt!$C$22)</f>
        <v>25</v>
      </c>
      <c r="S41" s="241">
        <f>IF(Teilnehmer[[#This Row],[BDR]]="Ja",Deckblatt!$D$21,Deckblatt!$D$22)</f>
        <v>25</v>
      </c>
    </row>
    <row r="42" spans="1:26" ht="18" customHeight="1" x14ac:dyDescent="0.3">
      <c r="A42" s="60" t="str">
        <f>$V$2&amp;41</f>
        <v>41</v>
      </c>
      <c r="B42" s="6"/>
      <c r="C42" s="6"/>
      <c r="D42" s="240"/>
      <c r="E42" s="279" t="str">
        <f t="shared" si="3"/>
        <v xml:space="preserve"> </v>
      </c>
      <c r="F42" s="4"/>
      <c r="G42" s="70"/>
      <c r="H42" s="250"/>
      <c r="I42" s="117"/>
      <c r="J42" s="251"/>
      <c r="K42" s="71" t="s">
        <v>11</v>
      </c>
      <c r="L42" s="71"/>
      <c r="M42" s="68"/>
      <c r="N42" s="72" t="str">
        <f t="shared" si="4"/>
        <v/>
      </c>
      <c r="O42" s="42"/>
      <c r="P42" s="39">
        <f>COUNTIF(Teilnehmer[[#This Row],[Einzelkür]:[Pk-Kürname]],"ja")+COUNTIF(Teilnehmer[[#This Row],[Einzelkür]:[Pk-Kürname]],"&gt;0")</f>
        <v>0</v>
      </c>
      <c r="Q42" s="301">
        <f t="shared" si="2"/>
        <v>0</v>
      </c>
      <c r="R42" s="5">
        <f>IF(Teilnehmer[[#This Row],[BDR]]="Ja",Deckblatt!$C$21,Deckblatt!$C$22)</f>
        <v>25</v>
      </c>
      <c r="S42" s="241">
        <f>IF(Teilnehmer[[#This Row],[BDR]]="Ja",Deckblatt!$D$21,Deckblatt!$D$22)</f>
        <v>25</v>
      </c>
    </row>
    <row r="43" spans="1:26" ht="18" customHeight="1" x14ac:dyDescent="0.3">
      <c r="A43" s="60" t="str">
        <f>$V$2&amp;42</f>
        <v>42</v>
      </c>
      <c r="B43" s="6"/>
      <c r="C43" s="6"/>
      <c r="D43" s="240"/>
      <c r="E43" s="279" t="str">
        <f t="shared" si="3"/>
        <v xml:space="preserve"> </v>
      </c>
      <c r="F43" s="4"/>
      <c r="G43" s="70"/>
      <c r="H43" s="250"/>
      <c r="I43" s="117"/>
      <c r="J43" s="251"/>
      <c r="K43" s="71" t="s">
        <v>11</v>
      </c>
      <c r="L43" s="71"/>
      <c r="M43" s="68"/>
      <c r="N43" s="72" t="str">
        <f t="shared" si="4"/>
        <v/>
      </c>
      <c r="O43" s="42"/>
      <c r="P43" s="39">
        <f>COUNTIF(Teilnehmer[[#This Row],[Einzelkür]:[Pk-Kürname]],"ja")+COUNTIF(Teilnehmer[[#This Row],[Einzelkür]:[Pk-Kürname]],"&gt;0")</f>
        <v>0</v>
      </c>
      <c r="Q43" s="301">
        <f t="shared" si="2"/>
        <v>0</v>
      </c>
      <c r="R43" s="5">
        <f>IF(Teilnehmer[[#This Row],[BDR]]="Ja",Deckblatt!$C$21,Deckblatt!$C$22)</f>
        <v>25</v>
      </c>
      <c r="S43" s="241">
        <f>IF(Teilnehmer[[#This Row],[BDR]]="Ja",Deckblatt!$D$21,Deckblatt!$D$22)</f>
        <v>25</v>
      </c>
    </row>
    <row r="44" spans="1:26" ht="18" customHeight="1" x14ac:dyDescent="0.3">
      <c r="A44" s="60" t="str">
        <f>$V$2&amp;43</f>
        <v>43</v>
      </c>
      <c r="B44" s="6"/>
      <c r="C44" s="6"/>
      <c r="D44" s="240"/>
      <c r="E44" s="279" t="str">
        <f t="shared" si="3"/>
        <v xml:space="preserve"> </v>
      </c>
      <c r="F44" s="4"/>
      <c r="G44" s="70"/>
      <c r="H44" s="250"/>
      <c r="I44" s="117"/>
      <c r="J44" s="251"/>
      <c r="K44" s="71" t="s">
        <v>11</v>
      </c>
      <c r="L44" s="71"/>
      <c r="M44" s="68"/>
      <c r="N44" s="72" t="str">
        <f t="shared" si="4"/>
        <v/>
      </c>
      <c r="O44" s="42"/>
      <c r="P44" s="39">
        <f>COUNTIF(Teilnehmer[[#This Row],[Einzelkür]:[Pk-Kürname]],"ja")+COUNTIF(Teilnehmer[[#This Row],[Einzelkür]:[Pk-Kürname]],"&gt;0")</f>
        <v>0</v>
      </c>
      <c r="Q44" s="301">
        <f t="shared" si="2"/>
        <v>0</v>
      </c>
      <c r="R44" s="5">
        <f>IF(Teilnehmer[[#This Row],[BDR]]="Ja",Deckblatt!$C$21,Deckblatt!$C$22)</f>
        <v>25</v>
      </c>
      <c r="S44" s="241">
        <f>IF(Teilnehmer[[#This Row],[BDR]]="Ja",Deckblatt!$D$21,Deckblatt!$D$22)</f>
        <v>25</v>
      </c>
    </row>
    <row r="45" spans="1:26" ht="18" customHeight="1" x14ac:dyDescent="0.3">
      <c r="A45" s="60" t="str">
        <f>$V$2&amp;44</f>
        <v>44</v>
      </c>
      <c r="B45" s="6"/>
      <c r="C45" s="6"/>
      <c r="D45" s="240"/>
      <c r="E45" s="279" t="str">
        <f t="shared" si="3"/>
        <v xml:space="preserve"> </v>
      </c>
      <c r="F45" s="4"/>
      <c r="G45" s="70"/>
      <c r="H45" s="250"/>
      <c r="I45" s="117"/>
      <c r="J45" s="251"/>
      <c r="K45" s="71" t="s">
        <v>11</v>
      </c>
      <c r="L45" s="71"/>
      <c r="M45" s="68"/>
      <c r="N45" s="72" t="str">
        <f t="shared" si="4"/>
        <v/>
      </c>
      <c r="O45" s="42"/>
      <c r="P45" s="39">
        <f>COUNTIF(Teilnehmer[[#This Row],[Einzelkür]:[Pk-Kürname]],"ja")+COUNTIF(Teilnehmer[[#This Row],[Einzelkür]:[Pk-Kürname]],"&gt;0")</f>
        <v>0</v>
      </c>
      <c r="Q45" s="301">
        <f t="shared" si="2"/>
        <v>0</v>
      </c>
      <c r="R45" s="5">
        <f>IF(Teilnehmer[[#This Row],[BDR]]="Ja",Deckblatt!$C$21,Deckblatt!$C$22)</f>
        <v>25</v>
      </c>
      <c r="S45" s="241">
        <f>IF(Teilnehmer[[#This Row],[BDR]]="Ja",Deckblatt!$D$21,Deckblatt!$D$22)</f>
        <v>25</v>
      </c>
    </row>
    <row r="46" spans="1:26" ht="18" customHeight="1" x14ac:dyDescent="0.3">
      <c r="A46" s="60" t="str">
        <f>$V$2&amp;45</f>
        <v>45</v>
      </c>
      <c r="B46" s="6"/>
      <c r="C46" s="6"/>
      <c r="D46" s="240"/>
      <c r="E46" s="279" t="str">
        <f t="shared" si="3"/>
        <v xml:space="preserve"> </v>
      </c>
      <c r="F46" s="4"/>
      <c r="G46" s="70"/>
      <c r="H46" s="250"/>
      <c r="I46" s="117"/>
      <c r="J46" s="251"/>
      <c r="K46" s="71" t="s">
        <v>11</v>
      </c>
      <c r="L46" s="71"/>
      <c r="M46" s="68"/>
      <c r="N46" s="72" t="str">
        <f t="shared" si="4"/>
        <v/>
      </c>
      <c r="O46" s="42"/>
      <c r="P46" s="39">
        <f>COUNTIF(Teilnehmer[[#This Row],[Einzelkür]:[Pk-Kürname]],"ja")+COUNTIF(Teilnehmer[[#This Row],[Einzelkür]:[Pk-Kürname]],"&gt;0")</f>
        <v>0</v>
      </c>
      <c r="Q46" s="301">
        <f t="shared" si="2"/>
        <v>0</v>
      </c>
      <c r="R46" s="5">
        <f>IF(Teilnehmer[[#This Row],[BDR]]="Ja",Deckblatt!$C$21,Deckblatt!$C$22)</f>
        <v>25</v>
      </c>
      <c r="S46" s="241">
        <f>IF(Teilnehmer[[#This Row],[BDR]]="Ja",Deckblatt!$D$21,Deckblatt!$D$22)</f>
        <v>25</v>
      </c>
    </row>
    <row r="47" spans="1:26" ht="18" customHeight="1" x14ac:dyDescent="0.3">
      <c r="A47" s="60" t="str">
        <f>$V$2&amp;46</f>
        <v>46</v>
      </c>
      <c r="B47" s="6"/>
      <c r="C47" s="6"/>
      <c r="D47" s="240"/>
      <c r="E47" s="279" t="str">
        <f t="shared" si="3"/>
        <v xml:space="preserve"> </v>
      </c>
      <c r="F47" s="4"/>
      <c r="G47" s="70"/>
      <c r="H47" s="250"/>
      <c r="I47" s="117"/>
      <c r="J47" s="251"/>
      <c r="K47" s="71" t="s">
        <v>11</v>
      </c>
      <c r="L47" s="71"/>
      <c r="M47" s="68"/>
      <c r="N47" s="72" t="str">
        <f t="shared" si="4"/>
        <v/>
      </c>
      <c r="O47" s="42"/>
      <c r="P47" s="39">
        <f>COUNTIF(Teilnehmer[[#This Row],[Einzelkür]:[Pk-Kürname]],"ja")+COUNTIF(Teilnehmer[[#This Row],[Einzelkür]:[Pk-Kürname]],"&gt;0")</f>
        <v>0</v>
      </c>
      <c r="Q47" s="301">
        <f t="shared" si="2"/>
        <v>0</v>
      </c>
      <c r="R47" s="5">
        <f>IF(Teilnehmer[[#This Row],[BDR]]="Ja",Deckblatt!$C$21,Deckblatt!$C$22)</f>
        <v>25</v>
      </c>
      <c r="S47" s="241">
        <f>IF(Teilnehmer[[#This Row],[BDR]]="Ja",Deckblatt!$D$21,Deckblatt!$D$22)</f>
        <v>25</v>
      </c>
    </row>
    <row r="48" spans="1:26" ht="18" customHeight="1" x14ac:dyDescent="0.3">
      <c r="A48" s="60" t="str">
        <f>$V$2&amp;47</f>
        <v>47</v>
      </c>
      <c r="B48" s="6"/>
      <c r="C48" s="6"/>
      <c r="D48" s="240"/>
      <c r="E48" s="279" t="str">
        <f t="shared" si="3"/>
        <v xml:space="preserve"> </v>
      </c>
      <c r="F48" s="4"/>
      <c r="G48" s="70"/>
      <c r="H48" s="250"/>
      <c r="I48" s="117"/>
      <c r="J48" s="251"/>
      <c r="K48" s="71" t="s">
        <v>11</v>
      </c>
      <c r="L48" s="71"/>
      <c r="M48" s="68"/>
      <c r="N48" s="72" t="str">
        <f t="shared" si="4"/>
        <v/>
      </c>
      <c r="O48" s="42"/>
      <c r="P48" s="39">
        <f>COUNTIF(Teilnehmer[[#This Row],[Einzelkür]:[Pk-Kürname]],"ja")+COUNTIF(Teilnehmer[[#This Row],[Einzelkür]:[Pk-Kürname]],"&gt;0")</f>
        <v>0</v>
      </c>
      <c r="Q48" s="301">
        <f t="shared" si="2"/>
        <v>0</v>
      </c>
      <c r="R48" s="5">
        <f>IF(Teilnehmer[[#This Row],[BDR]]="Ja",Deckblatt!$C$21,Deckblatt!$C$22)</f>
        <v>25</v>
      </c>
      <c r="S48" s="241">
        <f>IF(Teilnehmer[[#This Row],[BDR]]="Ja",Deckblatt!$D$21,Deckblatt!$D$22)</f>
        <v>25</v>
      </c>
    </row>
    <row r="49" spans="1:19" ht="18" customHeight="1" x14ac:dyDescent="0.3">
      <c r="A49" s="60" t="str">
        <f>$V$2&amp;48</f>
        <v>48</v>
      </c>
      <c r="B49" s="6"/>
      <c r="C49" s="6"/>
      <c r="D49" s="240"/>
      <c r="E49" s="279" t="str">
        <f t="shared" si="3"/>
        <v xml:space="preserve"> </v>
      </c>
      <c r="F49" s="4"/>
      <c r="G49" s="70"/>
      <c r="H49" s="250"/>
      <c r="I49" s="117"/>
      <c r="J49" s="251"/>
      <c r="K49" s="71" t="s">
        <v>11</v>
      </c>
      <c r="L49" s="71"/>
      <c r="M49" s="68"/>
      <c r="N49" s="72" t="str">
        <f t="shared" si="4"/>
        <v/>
      </c>
      <c r="O49" s="42"/>
      <c r="P49" s="39">
        <f>COUNTIF(Teilnehmer[[#This Row],[Einzelkür]:[Pk-Kürname]],"ja")+COUNTIF(Teilnehmer[[#This Row],[Einzelkür]:[Pk-Kürname]],"&gt;0")</f>
        <v>0</v>
      </c>
      <c r="Q49" s="301">
        <f t="shared" si="2"/>
        <v>0</v>
      </c>
      <c r="R49" s="5">
        <f>IF(Teilnehmer[[#This Row],[BDR]]="Ja",Deckblatt!$C$21,Deckblatt!$C$22)</f>
        <v>25</v>
      </c>
      <c r="S49" s="241">
        <f>IF(Teilnehmer[[#This Row],[BDR]]="Ja",Deckblatt!$D$21,Deckblatt!$D$22)</f>
        <v>25</v>
      </c>
    </row>
    <row r="50" spans="1:19" ht="18" customHeight="1" x14ac:dyDescent="0.3">
      <c r="A50" s="60" t="str">
        <f>$V$2&amp;49</f>
        <v>49</v>
      </c>
      <c r="B50" s="46"/>
      <c r="C50" s="46"/>
      <c r="D50" s="47"/>
      <c r="E50" s="279" t="str">
        <f t="shared" si="3"/>
        <v xml:space="preserve"> </v>
      </c>
      <c r="F50" s="4"/>
      <c r="G50" s="70"/>
      <c r="H50" s="252"/>
      <c r="I50" s="117"/>
      <c r="J50" s="253"/>
      <c r="K50" s="71" t="s">
        <v>11</v>
      </c>
      <c r="L50" s="254"/>
      <c r="M50" s="68"/>
      <c r="N50" s="72" t="str">
        <f t="shared" si="4"/>
        <v/>
      </c>
      <c r="O50" s="42"/>
      <c r="P50" s="39">
        <f>COUNTIF(Teilnehmer[[#This Row],[Einzelkür]:[Pk-Kürname]],"ja")+COUNTIF(Teilnehmer[[#This Row],[Einzelkür]:[Pk-Kürname]],"&gt;0")</f>
        <v>0</v>
      </c>
      <c r="Q50" s="301">
        <f t="shared" si="2"/>
        <v>0</v>
      </c>
      <c r="R50" s="39">
        <f>IF(Teilnehmer[[#This Row],[BDR]]="Ja",Deckblatt!$C$21,Deckblatt!$C$22)</f>
        <v>25</v>
      </c>
      <c r="S50" s="45">
        <f>IF(Teilnehmer[[#This Row],[BDR]]="Ja",Deckblatt!$D$21,Deckblatt!$D$22)</f>
        <v>25</v>
      </c>
    </row>
    <row r="51" spans="1:19" ht="18" customHeight="1" thickBot="1" x14ac:dyDescent="0.35">
      <c r="A51" s="60" t="str">
        <f>$V$2&amp;50</f>
        <v>50</v>
      </c>
      <c r="B51" s="46"/>
      <c r="C51" s="46"/>
      <c r="D51" s="47"/>
      <c r="E51" s="279" t="str">
        <f t="shared" si="3"/>
        <v xml:space="preserve"> </v>
      </c>
      <c r="F51" s="4"/>
      <c r="G51" s="70"/>
      <c r="H51" s="250"/>
      <c r="I51" s="117"/>
      <c r="J51" s="251"/>
      <c r="K51" s="71" t="s">
        <v>11</v>
      </c>
      <c r="L51" s="71"/>
      <c r="M51" s="48"/>
      <c r="N51" s="72" t="str">
        <f t="shared" si="4"/>
        <v/>
      </c>
      <c r="O51" s="67"/>
      <c r="P51" s="39">
        <f>COUNTIF(Teilnehmer[[#This Row],[Einzelkür]:[Pk-Kürname]],"ja")+COUNTIF(Teilnehmer[[#This Row],[Einzelkür]:[Pk-Kürname]],"&gt;0")</f>
        <v>0</v>
      </c>
      <c r="Q51" s="301">
        <f t="shared" si="2"/>
        <v>0</v>
      </c>
      <c r="R51" s="39">
        <f>IF(Teilnehmer[[#This Row],[BDR]]="Ja",Deckblatt!$C$21,Deckblatt!$C$22)</f>
        <v>25</v>
      </c>
      <c r="S51" s="45">
        <f>IF(Teilnehmer[[#This Row],[BDR]]="Ja",Deckblatt!$D$21,Deckblatt!$D$22)</f>
        <v>25</v>
      </c>
    </row>
    <row r="52" spans="1:19" ht="15" thickBot="1" x14ac:dyDescent="0.35">
      <c r="A52" s="61" t="s">
        <v>43</v>
      </c>
      <c r="B52" s="233"/>
      <c r="C52" s="244"/>
      <c r="D52" s="245"/>
      <c r="E52" s="246">
        <f>SUBTOTAL(102,Teilnehmer[Alter am Wettkampftag])</f>
        <v>0</v>
      </c>
      <c r="F52" s="245"/>
      <c r="G52" s="247"/>
      <c r="H52" s="247"/>
      <c r="I52" s="247"/>
      <c r="J52" s="247"/>
      <c r="K52" s="248"/>
      <c r="L52" s="248"/>
      <c r="M52" s="247"/>
      <c r="N52" s="249">
        <f>SUM(Teilnehmer[Startgebühr])</f>
        <v>0</v>
      </c>
      <c r="O52" s="234"/>
      <c r="P52" s="235"/>
      <c r="Q52" s="304">
        <f>SUBTOTAL(109,Teilnehmer[8 €])</f>
        <v>0</v>
      </c>
      <c r="R52" s="235"/>
      <c r="S52" s="235"/>
    </row>
  </sheetData>
  <sheetProtection algorithmName="SHA-512" hashValue="0rLl29l9ykMbkG3Cs7+rQv/OXXKSbU/lPk86/wkAb0io9PRO9HactGODLg5uON9KyNz7qs1IMqz/QRkX15xYIQ==" saltValue="jeQmQc8++D9dnBoFbV6+rQ==" spinCount="100000" sheet="1" selectLockedCells="1"/>
  <dataConsolidate/>
  <conditionalFormatting sqref="I2:I51">
    <cfRule type="expression" dxfId="143" priority="1">
      <formula>COUNTIF(I2:I$2,I2)&gt;2</formula>
    </cfRule>
  </conditionalFormatting>
  <dataValidations count="8">
    <dataValidation type="date" allowBlank="1" showInputMessage="1" showErrorMessage="1" error="Datum falsch_x000a_Jahr muss größer 1945 kleiner 2017 sein" sqref="D2:D51" xr:uid="{00000000-0002-0000-0100-000000000000}">
      <formula1>16438</formula1>
      <formula2>42818</formula2>
    </dataValidation>
    <dataValidation allowBlank="1" showErrorMessage="1" sqref="J2:J51 H2:H51" xr:uid="{00000000-0002-0000-0100-000001000000}"/>
    <dataValidation type="list" allowBlank="1" showInputMessage="1" showErrorMessage="1" sqref="L2:L51" xr:uid="{00000000-0002-0000-0100-000002000000}">
      <formula1>$Y$4:$Y$7</formula1>
    </dataValidation>
    <dataValidation type="list" allowBlank="1" showInputMessage="1" showErrorMessage="1" sqref="M2:M51" xr:uid="{00000000-0002-0000-0100-000003000000}">
      <formula1>$W$4:$W$6</formula1>
    </dataValidation>
    <dataValidation type="list" allowBlank="1" showErrorMessage="1" error="Bitte Paare gleiche Nr. eingeben_x000a_1-24" sqref="I2:I51" xr:uid="{00000000-0002-0000-0100-000005000000}">
      <formula1>$Z$3:$Z$27</formula1>
    </dataValidation>
    <dataValidation type="list" allowBlank="1" showErrorMessage="1" error="w oder m" sqref="F2:F51" xr:uid="{00000000-0002-0000-0100-000006000000}">
      <formula1>$V$3:$V$5</formula1>
    </dataValidation>
    <dataValidation type="list" allowBlank="1" showErrorMessage="1" sqref="G2:G51" xr:uid="{00000000-0002-0000-0100-000007000000}">
      <formula1>$W$3:$W$5</formula1>
    </dataValidation>
    <dataValidation type="list" allowBlank="1" showInputMessage="1" showErrorMessage="1" sqref="K2:K51" xr:uid="{D68FFC64-0C05-4BBB-9162-60FEFD8ED5B5}">
      <formula1>$X$4:$X$10</formula1>
    </dataValidation>
  </dataValidations>
  <pageMargins left="0.70866141732283472" right="0.70866141732283472" top="0.78740157480314965" bottom="0.78740157480314965" header="0.31496062992125984" footer="0.31496062992125984"/>
  <pageSetup paperSize="9" scale="64" fitToHeight="0" orientation="landscape" horizontalDpi="4294967293" r:id="rId1"/>
  <headerFooter>
    <oddHeader>&amp;R&amp;F</oddHeader>
  </headerFooter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5">
    <tabColor rgb="FFFF0000"/>
  </sheetPr>
  <dimension ref="A1:CB172"/>
  <sheetViews>
    <sheetView showGridLines="0" showRowColHeaders="0" showRuler="0" zoomScaleNormal="100" workbookViewId="0">
      <selection activeCell="B5" sqref="B5"/>
    </sheetView>
  </sheetViews>
  <sheetFormatPr baseColWidth="10" defaultColWidth="11.44140625" defaultRowHeight="13.8" x14ac:dyDescent="0.3"/>
  <cols>
    <col min="1" max="1" width="4.109375" style="83" customWidth="1"/>
    <col min="2" max="2" width="37.6640625" style="83" customWidth="1"/>
    <col min="3" max="3" width="21.88671875" style="83" customWidth="1"/>
    <col min="4" max="4" width="2.44140625" style="83" customWidth="1"/>
    <col min="5" max="5" width="9" style="83" customWidth="1"/>
    <col min="6" max="6" width="12" style="83" customWidth="1"/>
    <col min="7" max="7" width="22.109375" style="83" hidden="1" customWidth="1"/>
    <col min="8" max="8" width="5.6640625" style="83" hidden="1" customWidth="1"/>
    <col min="9" max="10" width="11.44140625" style="83" hidden="1" customWidth="1"/>
    <col min="11" max="11" width="11.44140625" style="83" customWidth="1"/>
    <col min="12" max="16384" width="11.44140625" style="83"/>
  </cols>
  <sheetData>
    <row r="1" spans="1:10" s="86" customFormat="1" ht="33.6" x14ac:dyDescent="0.3">
      <c r="A1" s="182"/>
      <c r="B1" s="183" t="str">
        <f>Deckblatt!B1</f>
        <v>Süddeutsche Meisterschaft Freestyle</v>
      </c>
      <c r="C1" s="183"/>
      <c r="D1" s="183"/>
      <c r="G1" s="184" t="s">
        <v>73</v>
      </c>
      <c r="H1" s="110">
        <f>COUNTA(Teilnehmer[Vorname])</f>
        <v>0</v>
      </c>
      <c r="I1" s="185" t="s">
        <v>69</v>
      </c>
      <c r="J1" s="185">
        <v>1</v>
      </c>
    </row>
    <row r="2" spans="1:10" s="86" customFormat="1" ht="33.6" x14ac:dyDescent="0.3">
      <c r="A2" s="182"/>
      <c r="B2" s="183"/>
      <c r="C2" s="183"/>
      <c r="D2" s="183"/>
      <c r="H2" s="185"/>
      <c r="I2" s="185" t="s">
        <v>70</v>
      </c>
      <c r="J2" s="185">
        <v>2</v>
      </c>
    </row>
    <row r="3" spans="1:10" s="86" customFormat="1" ht="25.8" x14ac:dyDescent="0.3">
      <c r="B3" s="298">
        <f>Deckblatt!B3</f>
        <v>43911</v>
      </c>
      <c r="C3" s="315">
        <f>Deckblatt!C3</f>
        <v>43912</v>
      </c>
      <c r="D3" s="315"/>
      <c r="F3" s="187"/>
      <c r="H3" s="185"/>
      <c r="I3" s="185" t="s">
        <v>71</v>
      </c>
      <c r="J3" s="185">
        <v>3</v>
      </c>
    </row>
    <row r="4" spans="1:10" s="86" customFormat="1" ht="28.8" x14ac:dyDescent="0.3">
      <c r="B4" s="186"/>
      <c r="C4" s="186"/>
      <c r="D4" s="186"/>
      <c r="E4" s="188"/>
      <c r="F4" s="188"/>
      <c r="H4" s="185"/>
      <c r="I4" s="185" t="s">
        <v>72</v>
      </c>
      <c r="J4" s="185">
        <v>4</v>
      </c>
    </row>
    <row r="5" spans="1:10" s="189" customFormat="1" ht="21" x14ac:dyDescent="0.4">
      <c r="B5" s="306" t="s">
        <v>106</v>
      </c>
      <c r="C5" s="190"/>
      <c r="D5" s="190"/>
      <c r="E5" s="191"/>
      <c r="F5" s="191"/>
      <c r="H5" s="192"/>
      <c r="I5" s="192">
        <v>30</v>
      </c>
      <c r="J5" s="192">
        <v>5</v>
      </c>
    </row>
    <row r="6" spans="1:10" ht="18" x14ac:dyDescent="0.35">
      <c r="A6" s="80"/>
      <c r="B6" s="79"/>
      <c r="C6" s="79"/>
      <c r="D6" s="79"/>
      <c r="E6" s="79"/>
      <c r="F6" s="79"/>
      <c r="G6" s="80"/>
      <c r="H6" s="80"/>
      <c r="I6" s="80"/>
    </row>
    <row r="7" spans="1:10" ht="18.600000000000001" thickBot="1" x14ac:dyDescent="0.4">
      <c r="B7" s="193"/>
      <c r="C7" s="193"/>
      <c r="D7" s="193"/>
      <c r="E7" s="79"/>
      <c r="F7" s="80"/>
      <c r="G7" s="80"/>
    </row>
    <row r="8" spans="1:10" s="91" customFormat="1" ht="30" customHeight="1" thickBot="1" x14ac:dyDescent="0.35">
      <c r="B8" s="194" t="s">
        <v>6</v>
      </c>
      <c r="C8" s="195"/>
      <c r="E8" s="196">
        <f>SUM(Teilnehmer[Startgebühr])</f>
        <v>0</v>
      </c>
    </row>
    <row r="9" spans="1:10" s="91" customFormat="1" ht="30" customHeight="1" x14ac:dyDescent="0.35">
      <c r="B9" s="193"/>
      <c r="C9" s="193"/>
      <c r="D9" s="193"/>
      <c r="E9" s="197"/>
    </row>
    <row r="10" spans="1:10" s="198" customFormat="1" ht="30" customHeight="1" thickBot="1" x14ac:dyDescent="0.35">
      <c r="B10" s="199" t="s">
        <v>8</v>
      </c>
      <c r="C10" s="199"/>
      <c r="D10" s="199"/>
      <c r="E10" s="200"/>
      <c r="F10" s="201"/>
      <c r="G10" s="201"/>
    </row>
    <row r="11" spans="1:10" s="207" customFormat="1" ht="19.95" customHeight="1" x14ac:dyDescent="0.35">
      <c r="A11" s="202"/>
      <c r="B11" s="203" t="s">
        <v>62</v>
      </c>
      <c r="C11" s="204"/>
      <c r="D11" s="204"/>
      <c r="E11" s="205"/>
      <c r="F11" s="206"/>
      <c r="G11" s="206"/>
    </row>
    <row r="12" spans="1:10" s="207" customFormat="1" ht="19.95" customHeight="1" x14ac:dyDescent="0.35">
      <c r="A12" s="202"/>
      <c r="B12" s="208" t="s">
        <v>79</v>
      </c>
      <c r="C12" s="209"/>
      <c r="D12" s="209"/>
      <c r="E12" s="205"/>
      <c r="F12" s="206"/>
      <c r="G12" s="206"/>
    </row>
    <row r="13" spans="1:10" s="207" customFormat="1" ht="19.95" customHeight="1" x14ac:dyDescent="0.3">
      <c r="A13" s="202"/>
      <c r="B13" s="210" t="s">
        <v>61</v>
      </c>
      <c r="C13" s="210"/>
      <c r="D13" s="210"/>
      <c r="E13" s="211"/>
    </row>
    <row r="14" spans="1:10" s="207" customFormat="1" ht="19.95" customHeight="1" thickBot="1" x14ac:dyDescent="0.35">
      <c r="A14" s="202"/>
      <c r="B14" s="212" t="s">
        <v>107</v>
      </c>
      <c r="C14" s="212"/>
      <c r="D14" s="212"/>
      <c r="E14" s="211"/>
    </row>
    <row r="15" spans="1:10" ht="19.95" customHeight="1" x14ac:dyDescent="0.35">
      <c r="B15" s="213"/>
      <c r="C15" s="213"/>
      <c r="D15" s="213"/>
    </row>
    <row r="16" spans="1:10" ht="15.6" x14ac:dyDescent="0.3">
      <c r="B16" s="214"/>
      <c r="C16" s="214"/>
      <c r="D16" s="214"/>
    </row>
    <row r="17" spans="1:8" ht="21" x14ac:dyDescent="0.4">
      <c r="B17" s="215"/>
      <c r="C17" s="215"/>
      <c r="D17" s="215"/>
    </row>
    <row r="18" spans="1:8" s="91" customFormat="1" ht="15.6" x14ac:dyDescent="0.3">
      <c r="A18" s="216"/>
      <c r="B18" s="217" t="s">
        <v>63</v>
      </c>
      <c r="C18" s="218"/>
      <c r="D18" s="219">
        <f>IF(H1&lt;5,J1,IF(H1&lt;11,J2,IF(H1&lt;21,J3,IF(H1&lt;30,J4,J5))))</f>
        <v>1</v>
      </c>
      <c r="F18" s="12"/>
      <c r="G18" s="12"/>
      <c r="H18" s="216"/>
    </row>
    <row r="19" spans="1:8" s="221" customFormat="1" ht="19.95" customHeight="1" x14ac:dyDescent="0.3">
      <c r="A19" s="220"/>
      <c r="B19" s="158" t="s">
        <v>7</v>
      </c>
      <c r="C19" s="108"/>
      <c r="E19" s="108"/>
      <c r="F19" s="108"/>
      <c r="G19" s="108"/>
      <c r="H19" s="108"/>
    </row>
    <row r="20" spans="1:8" s="222" customFormat="1" ht="11.25" customHeight="1" x14ac:dyDescent="0.3">
      <c r="A20" s="108"/>
      <c r="B20" s="157"/>
      <c r="C20" s="108"/>
      <c r="D20" s="108"/>
      <c r="E20" s="108"/>
      <c r="F20" s="108"/>
      <c r="G20" s="108"/>
      <c r="H20" s="108"/>
    </row>
    <row r="21" spans="1:8" ht="16.95" customHeight="1" x14ac:dyDescent="0.35">
      <c r="A21" s="223" t="s">
        <v>64</v>
      </c>
      <c r="B21" s="316"/>
      <c r="C21" s="317"/>
      <c r="D21" s="318"/>
      <c r="E21" s="224"/>
      <c r="F21" s="224"/>
      <c r="G21" s="224"/>
      <c r="H21" s="225"/>
    </row>
    <row r="22" spans="1:8" ht="16.95" customHeight="1" x14ac:dyDescent="0.3">
      <c r="A22" s="223" t="s">
        <v>65</v>
      </c>
      <c r="B22" s="316"/>
      <c r="C22" s="317"/>
      <c r="D22" s="318"/>
      <c r="E22" s="226"/>
      <c r="F22" s="226"/>
      <c r="G22" s="226"/>
      <c r="H22" s="225"/>
    </row>
    <row r="23" spans="1:8" ht="16.95" customHeight="1" x14ac:dyDescent="0.3">
      <c r="A23" s="223" t="s">
        <v>66</v>
      </c>
      <c r="B23" s="316"/>
      <c r="C23" s="317"/>
      <c r="D23" s="318"/>
      <c r="E23" s="226"/>
      <c r="F23" s="226"/>
      <c r="G23" s="226"/>
      <c r="H23" s="225"/>
    </row>
    <row r="24" spans="1:8" ht="16.95" customHeight="1" x14ac:dyDescent="0.3">
      <c r="A24" s="223" t="s">
        <v>67</v>
      </c>
      <c r="B24" s="316"/>
      <c r="C24" s="317"/>
      <c r="D24" s="318"/>
      <c r="E24" s="226"/>
      <c r="F24" s="226"/>
      <c r="G24" s="226"/>
      <c r="H24" s="225"/>
    </row>
    <row r="25" spans="1:8" ht="16.95" customHeight="1" x14ac:dyDescent="0.3">
      <c r="A25" s="223" t="s">
        <v>68</v>
      </c>
      <c r="B25" s="316"/>
      <c r="C25" s="317"/>
      <c r="D25" s="318"/>
      <c r="E25" s="226"/>
      <c r="F25" s="226"/>
      <c r="G25" s="226"/>
      <c r="H25" s="225"/>
    </row>
    <row r="26" spans="1:8" ht="16.95" customHeight="1" x14ac:dyDescent="0.3">
      <c r="A26" s="225"/>
      <c r="B26" s="226"/>
      <c r="C26" s="226"/>
      <c r="D26" s="226"/>
      <c r="E26" s="226"/>
      <c r="F26" s="226"/>
      <c r="G26" s="226"/>
      <c r="H26" s="225"/>
    </row>
    <row r="27" spans="1:8" ht="18" x14ac:dyDescent="0.3">
      <c r="A27" s="225"/>
      <c r="B27" s="227"/>
      <c r="C27" s="227"/>
      <c r="D27" s="227"/>
      <c r="E27" s="228"/>
      <c r="F27" s="228"/>
      <c r="G27" s="228"/>
      <c r="H27" s="225"/>
    </row>
    <row r="28" spans="1:8" ht="18" x14ac:dyDescent="0.35">
      <c r="A28" s="225"/>
      <c r="B28" s="109"/>
      <c r="C28" s="109"/>
      <c r="D28" s="224"/>
      <c r="E28" s="224"/>
      <c r="F28" s="224"/>
      <c r="G28" s="224"/>
      <c r="H28" s="225"/>
    </row>
    <row r="29" spans="1:8" ht="18" x14ac:dyDescent="0.35">
      <c r="B29" s="229"/>
      <c r="C29" s="229"/>
      <c r="D29" s="229"/>
    </row>
    <row r="37" spans="1:80" x14ac:dyDescent="0.3">
      <c r="H37" s="225"/>
    </row>
    <row r="38" spans="1:80" x14ac:dyDescent="0.3">
      <c r="H38" s="225"/>
    </row>
    <row r="39" spans="1:80" x14ac:dyDescent="0.3">
      <c r="H39" s="225"/>
    </row>
    <row r="40" spans="1:80" ht="18.899999999999999" customHeight="1" x14ac:dyDescent="0.3">
      <c r="H40" s="230"/>
    </row>
    <row r="41" spans="1:80" ht="19.95" customHeight="1" x14ac:dyDescent="0.3"/>
    <row r="42" spans="1:80" ht="15.9" customHeight="1" x14ac:dyDescent="0.3"/>
    <row r="44" spans="1:80" ht="106.2" customHeight="1" x14ac:dyDescent="0.3"/>
    <row r="45" spans="1:80" ht="18" x14ac:dyDescent="0.35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</row>
    <row r="46" spans="1:80" ht="18" x14ac:dyDescent="0.35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</row>
    <row r="47" spans="1:80" ht="18" x14ac:dyDescent="0.35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</row>
    <row r="48" spans="1:80" ht="18" x14ac:dyDescent="0.35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</row>
    <row r="49" spans="1:80" ht="18" x14ac:dyDescent="0.35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</row>
    <row r="50" spans="1:80" ht="18" x14ac:dyDescent="0.35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</row>
    <row r="51" spans="1:80" ht="18" x14ac:dyDescent="0.35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</row>
    <row r="52" spans="1:80" ht="18" x14ac:dyDescent="0.35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</row>
    <row r="53" spans="1:80" ht="18" x14ac:dyDescent="0.35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</row>
    <row r="54" spans="1:80" ht="18" x14ac:dyDescent="0.35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</row>
    <row r="55" spans="1:80" ht="18" x14ac:dyDescent="0.35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</row>
    <row r="56" spans="1:80" ht="18" x14ac:dyDescent="0.35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</row>
    <row r="57" spans="1:80" ht="18" x14ac:dyDescent="0.35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</row>
    <row r="58" spans="1:80" ht="18" x14ac:dyDescent="0.35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</row>
    <row r="59" spans="1:80" ht="18" x14ac:dyDescent="0.35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</row>
    <row r="60" spans="1:80" ht="18" x14ac:dyDescent="0.35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</row>
    <row r="61" spans="1:80" ht="18" x14ac:dyDescent="0.35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</row>
    <row r="62" spans="1:80" ht="18" x14ac:dyDescent="0.35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  <c r="BZ62" s="80"/>
      <c r="CA62" s="80"/>
      <c r="CB62" s="80"/>
    </row>
    <row r="63" spans="1:80" ht="18" x14ac:dyDescent="0.35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</row>
    <row r="64" spans="1:80" ht="18" x14ac:dyDescent="0.35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</row>
    <row r="65" spans="1:80" ht="18" x14ac:dyDescent="0.35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  <c r="BZ65" s="80"/>
      <c r="CA65" s="80"/>
      <c r="CB65" s="80"/>
    </row>
    <row r="66" spans="1:80" ht="18" x14ac:dyDescent="0.35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</row>
    <row r="67" spans="1:80" ht="18" x14ac:dyDescent="0.35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  <c r="BZ67" s="80"/>
      <c r="CA67" s="80"/>
      <c r="CB67" s="80"/>
    </row>
    <row r="68" spans="1:80" ht="18" x14ac:dyDescent="0.35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</row>
    <row r="69" spans="1:80" ht="18" x14ac:dyDescent="0.35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  <c r="BZ69" s="80"/>
      <c r="CA69" s="80"/>
      <c r="CB69" s="80"/>
    </row>
    <row r="70" spans="1:80" ht="18" x14ac:dyDescent="0.35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0"/>
      <c r="BR70" s="80"/>
      <c r="BS70" s="80"/>
      <c r="BT70" s="80"/>
      <c r="BU70" s="80"/>
      <c r="BV70" s="80"/>
      <c r="BW70" s="80"/>
      <c r="BX70" s="80"/>
      <c r="BY70" s="80"/>
      <c r="BZ70" s="80"/>
      <c r="CA70" s="80"/>
      <c r="CB70" s="80"/>
    </row>
    <row r="71" spans="1:80" ht="18" x14ac:dyDescent="0.35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  <c r="BZ71" s="80"/>
      <c r="CA71" s="80"/>
      <c r="CB71" s="80"/>
    </row>
    <row r="72" spans="1:80" ht="18" x14ac:dyDescent="0.35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80"/>
      <c r="BV72" s="80"/>
      <c r="BW72" s="80"/>
      <c r="BX72" s="80"/>
      <c r="BY72" s="80"/>
      <c r="BZ72" s="80"/>
      <c r="CA72" s="80"/>
      <c r="CB72" s="80"/>
    </row>
    <row r="73" spans="1:80" ht="18" x14ac:dyDescent="0.35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</row>
    <row r="74" spans="1:80" ht="18" x14ac:dyDescent="0.35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</row>
    <row r="75" spans="1:80" ht="18" x14ac:dyDescent="0.35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</row>
    <row r="76" spans="1:80" ht="18" x14ac:dyDescent="0.35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80"/>
      <c r="BV76" s="80"/>
      <c r="BW76" s="80"/>
      <c r="BX76" s="80"/>
      <c r="BY76" s="80"/>
      <c r="BZ76" s="80"/>
      <c r="CA76" s="80"/>
      <c r="CB76" s="80"/>
    </row>
    <row r="77" spans="1:80" ht="18" x14ac:dyDescent="0.35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  <c r="BM77" s="80"/>
      <c r="BN77" s="80"/>
      <c r="BO77" s="80"/>
      <c r="BP77" s="80"/>
      <c r="BQ77" s="80"/>
      <c r="BR77" s="80"/>
      <c r="BS77" s="80"/>
      <c r="BT77" s="80"/>
      <c r="BU77" s="80"/>
      <c r="BV77" s="80"/>
      <c r="BW77" s="80"/>
      <c r="BX77" s="80"/>
      <c r="BY77" s="80"/>
      <c r="BZ77" s="80"/>
      <c r="CA77" s="80"/>
      <c r="CB77" s="80"/>
    </row>
    <row r="78" spans="1:80" ht="18" x14ac:dyDescent="0.35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</row>
    <row r="79" spans="1:80" ht="18" x14ac:dyDescent="0.35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</row>
    <row r="80" spans="1:80" ht="18" x14ac:dyDescent="0.35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80"/>
      <c r="BY80" s="80"/>
      <c r="BZ80" s="80"/>
      <c r="CA80" s="80"/>
      <c r="CB80" s="80"/>
    </row>
    <row r="81" spans="1:80" ht="18" x14ac:dyDescent="0.35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</row>
    <row r="82" spans="1:80" ht="18" x14ac:dyDescent="0.35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</row>
    <row r="83" spans="1:80" ht="18" x14ac:dyDescent="0.35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</row>
    <row r="84" spans="1:80" ht="18" x14ac:dyDescent="0.35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</row>
    <row r="85" spans="1:80" ht="18" x14ac:dyDescent="0.35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</row>
    <row r="86" spans="1:80" ht="18" x14ac:dyDescent="0.35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</row>
    <row r="87" spans="1:80" ht="18" x14ac:dyDescent="0.35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</row>
    <row r="88" spans="1:80" ht="18" x14ac:dyDescent="0.35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</row>
    <row r="89" spans="1:80" ht="18" x14ac:dyDescent="0.35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  <c r="BZ89" s="80"/>
      <c r="CA89" s="80"/>
      <c r="CB89" s="80"/>
    </row>
    <row r="90" spans="1:80" ht="18" x14ac:dyDescent="0.35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  <c r="BM90" s="80"/>
      <c r="BN90" s="80"/>
      <c r="BO90" s="80"/>
      <c r="BP90" s="80"/>
      <c r="BQ90" s="80"/>
      <c r="BR90" s="80"/>
      <c r="BS90" s="80"/>
      <c r="BT90" s="80"/>
      <c r="BU90" s="80"/>
      <c r="BV90" s="80"/>
      <c r="BW90" s="80"/>
      <c r="BX90" s="80"/>
      <c r="BY90" s="80"/>
      <c r="BZ90" s="80"/>
      <c r="CA90" s="80"/>
      <c r="CB90" s="80"/>
    </row>
    <row r="91" spans="1:80" ht="18" x14ac:dyDescent="0.35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  <c r="BZ91" s="80"/>
      <c r="CA91" s="80"/>
      <c r="CB91" s="80"/>
    </row>
    <row r="92" spans="1:80" ht="18" x14ac:dyDescent="0.35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0"/>
      <c r="BQ92" s="80"/>
      <c r="BR92" s="80"/>
      <c r="BS92" s="80"/>
      <c r="BT92" s="80"/>
      <c r="BU92" s="80"/>
      <c r="BV92" s="80"/>
      <c r="BW92" s="80"/>
      <c r="BX92" s="80"/>
      <c r="BY92" s="80"/>
      <c r="BZ92" s="80"/>
      <c r="CA92" s="80"/>
      <c r="CB92" s="80"/>
    </row>
    <row r="93" spans="1:80" ht="18" x14ac:dyDescent="0.35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</row>
    <row r="94" spans="1:80" ht="18" x14ac:dyDescent="0.35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</row>
    <row r="95" spans="1:80" ht="18" x14ac:dyDescent="0.35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</row>
    <row r="96" spans="1:80" ht="18" x14ac:dyDescent="0.35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</row>
    <row r="97" spans="1:80" ht="18" x14ac:dyDescent="0.35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</row>
    <row r="98" spans="1:80" ht="18" x14ac:dyDescent="0.35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</row>
    <row r="99" spans="1:80" ht="18" x14ac:dyDescent="0.35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</row>
    <row r="100" spans="1:80" ht="18" x14ac:dyDescent="0.35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</row>
    <row r="101" spans="1:80" ht="18" x14ac:dyDescent="0.35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</row>
    <row r="102" spans="1:80" ht="18" x14ac:dyDescent="0.35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</row>
    <row r="103" spans="1:80" ht="18" x14ac:dyDescent="0.35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</row>
    <row r="104" spans="1:80" ht="18" x14ac:dyDescent="0.35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</row>
    <row r="105" spans="1:80" ht="18" x14ac:dyDescent="0.35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80"/>
      <c r="BY105" s="80"/>
      <c r="BZ105" s="80"/>
      <c r="CA105" s="80"/>
      <c r="CB105" s="80"/>
    </row>
    <row r="106" spans="1:80" ht="18" x14ac:dyDescent="0.35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  <c r="BM106" s="80"/>
      <c r="BN106" s="80"/>
      <c r="BO106" s="80"/>
      <c r="BP106" s="80"/>
      <c r="BQ106" s="80"/>
      <c r="BR106" s="80"/>
      <c r="BS106" s="80"/>
      <c r="BT106" s="80"/>
      <c r="BU106" s="80"/>
      <c r="BV106" s="80"/>
      <c r="BW106" s="80"/>
      <c r="BX106" s="80"/>
      <c r="BY106" s="80"/>
      <c r="BZ106" s="80"/>
      <c r="CA106" s="80"/>
      <c r="CB106" s="80"/>
    </row>
    <row r="107" spans="1:80" ht="18" x14ac:dyDescent="0.35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</row>
    <row r="108" spans="1:80" ht="18" x14ac:dyDescent="0.35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</row>
    <row r="109" spans="1:80" ht="18" x14ac:dyDescent="0.35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  <c r="BW109" s="80"/>
      <c r="BX109" s="80"/>
      <c r="BY109" s="80"/>
      <c r="BZ109" s="80"/>
      <c r="CA109" s="80"/>
      <c r="CB109" s="80"/>
    </row>
    <row r="110" spans="1:80" ht="18" x14ac:dyDescent="0.35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  <c r="BM110" s="80"/>
      <c r="BN110" s="80"/>
      <c r="BO110" s="80"/>
      <c r="BP110" s="80"/>
      <c r="BQ110" s="80"/>
      <c r="BR110" s="80"/>
      <c r="BS110" s="80"/>
      <c r="BT110" s="80"/>
      <c r="BU110" s="80"/>
      <c r="BV110" s="80"/>
      <c r="BW110" s="80"/>
      <c r="BX110" s="80"/>
      <c r="BY110" s="80"/>
      <c r="BZ110" s="80"/>
      <c r="CA110" s="80"/>
      <c r="CB110" s="80"/>
    </row>
    <row r="111" spans="1:80" ht="18" x14ac:dyDescent="0.35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  <c r="BM111" s="80"/>
      <c r="BN111" s="80"/>
      <c r="BO111" s="80"/>
      <c r="BP111" s="80"/>
      <c r="BQ111" s="80"/>
      <c r="BR111" s="80"/>
      <c r="BS111" s="80"/>
      <c r="BT111" s="80"/>
      <c r="BU111" s="80"/>
      <c r="BV111" s="80"/>
      <c r="BW111" s="80"/>
      <c r="BX111" s="80"/>
      <c r="BY111" s="80"/>
      <c r="BZ111" s="80"/>
      <c r="CA111" s="80"/>
      <c r="CB111" s="80"/>
    </row>
    <row r="112" spans="1:80" ht="18" x14ac:dyDescent="0.35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  <c r="BM112" s="80"/>
      <c r="BN112" s="80"/>
      <c r="BO112" s="80"/>
      <c r="BP112" s="80"/>
      <c r="BQ112" s="80"/>
      <c r="BR112" s="80"/>
      <c r="BS112" s="80"/>
      <c r="BT112" s="80"/>
      <c r="BU112" s="80"/>
      <c r="BV112" s="80"/>
      <c r="BW112" s="80"/>
      <c r="BX112" s="80"/>
      <c r="BY112" s="80"/>
      <c r="BZ112" s="80"/>
      <c r="CA112" s="80"/>
      <c r="CB112" s="80"/>
    </row>
    <row r="113" spans="1:80" ht="18" x14ac:dyDescent="0.35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  <c r="BM113" s="80"/>
      <c r="BN113" s="80"/>
      <c r="BO113" s="80"/>
      <c r="BP113" s="80"/>
      <c r="BQ113" s="80"/>
      <c r="BR113" s="80"/>
      <c r="BS113" s="80"/>
      <c r="BT113" s="80"/>
      <c r="BU113" s="80"/>
      <c r="BV113" s="80"/>
      <c r="BW113" s="80"/>
      <c r="BX113" s="80"/>
      <c r="BY113" s="80"/>
      <c r="BZ113" s="80"/>
      <c r="CA113" s="80"/>
      <c r="CB113" s="80"/>
    </row>
    <row r="114" spans="1:80" ht="18" x14ac:dyDescent="0.35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  <c r="BM114" s="80"/>
      <c r="BN114" s="80"/>
      <c r="BO114" s="80"/>
      <c r="BP114" s="80"/>
      <c r="BQ114" s="80"/>
      <c r="BR114" s="80"/>
      <c r="BS114" s="80"/>
      <c r="BT114" s="80"/>
      <c r="BU114" s="80"/>
      <c r="BV114" s="80"/>
      <c r="BW114" s="80"/>
      <c r="BX114" s="80"/>
      <c r="BY114" s="80"/>
      <c r="BZ114" s="80"/>
      <c r="CA114" s="80"/>
      <c r="CB114" s="80"/>
    </row>
    <row r="115" spans="1:80" ht="18" x14ac:dyDescent="0.35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  <c r="BM115" s="80"/>
      <c r="BN115" s="80"/>
      <c r="BO115" s="80"/>
      <c r="BP115" s="80"/>
      <c r="BQ115" s="80"/>
      <c r="BR115" s="80"/>
      <c r="BS115" s="80"/>
      <c r="BT115" s="80"/>
      <c r="BU115" s="80"/>
      <c r="BV115" s="80"/>
      <c r="BW115" s="80"/>
      <c r="BX115" s="80"/>
      <c r="BY115" s="80"/>
      <c r="BZ115" s="80"/>
      <c r="CA115" s="80"/>
      <c r="CB115" s="80"/>
    </row>
    <row r="116" spans="1:80" ht="18" x14ac:dyDescent="0.35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  <c r="BM116" s="80"/>
      <c r="BN116" s="80"/>
      <c r="BO116" s="80"/>
      <c r="BP116" s="80"/>
      <c r="BQ116" s="80"/>
      <c r="BR116" s="80"/>
      <c r="BS116" s="80"/>
      <c r="BT116" s="80"/>
      <c r="BU116" s="80"/>
      <c r="BV116" s="80"/>
      <c r="BW116" s="80"/>
      <c r="BX116" s="80"/>
      <c r="BY116" s="80"/>
      <c r="BZ116" s="80"/>
      <c r="CA116" s="80"/>
      <c r="CB116" s="80"/>
    </row>
    <row r="117" spans="1:80" ht="18" x14ac:dyDescent="0.35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  <c r="BM117" s="80"/>
      <c r="BN117" s="80"/>
      <c r="BO117" s="80"/>
      <c r="BP117" s="80"/>
      <c r="BQ117" s="80"/>
      <c r="BR117" s="80"/>
      <c r="BS117" s="80"/>
      <c r="BT117" s="80"/>
      <c r="BU117" s="80"/>
      <c r="BV117" s="80"/>
      <c r="BW117" s="80"/>
      <c r="BX117" s="80"/>
      <c r="BY117" s="80"/>
      <c r="BZ117" s="80"/>
      <c r="CA117" s="80"/>
      <c r="CB117" s="80"/>
    </row>
    <row r="118" spans="1:80" ht="18" x14ac:dyDescent="0.35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  <c r="BM118" s="80"/>
      <c r="BN118" s="80"/>
      <c r="BO118" s="80"/>
      <c r="BP118" s="80"/>
      <c r="BQ118" s="80"/>
      <c r="BR118" s="80"/>
      <c r="BS118" s="80"/>
      <c r="BT118" s="80"/>
      <c r="BU118" s="80"/>
      <c r="BV118" s="80"/>
      <c r="BW118" s="80"/>
      <c r="BX118" s="80"/>
      <c r="BY118" s="80"/>
      <c r="BZ118" s="80"/>
      <c r="CA118" s="80"/>
      <c r="CB118" s="80"/>
    </row>
    <row r="119" spans="1:80" ht="18" x14ac:dyDescent="0.35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  <c r="BM119" s="80"/>
      <c r="BN119" s="80"/>
      <c r="BO119" s="80"/>
      <c r="BP119" s="80"/>
      <c r="BQ119" s="80"/>
      <c r="BR119" s="80"/>
      <c r="BS119" s="80"/>
      <c r="BT119" s="80"/>
      <c r="BU119" s="80"/>
      <c r="BV119" s="80"/>
      <c r="BW119" s="80"/>
      <c r="BX119" s="80"/>
      <c r="BY119" s="80"/>
      <c r="BZ119" s="80"/>
      <c r="CA119" s="80"/>
      <c r="CB119" s="80"/>
    </row>
    <row r="120" spans="1:80" ht="18" x14ac:dyDescent="0.35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  <c r="BM120" s="80"/>
      <c r="BN120" s="80"/>
      <c r="BO120" s="80"/>
      <c r="BP120" s="80"/>
      <c r="BQ120" s="80"/>
      <c r="BR120" s="80"/>
      <c r="BS120" s="80"/>
      <c r="BT120" s="80"/>
      <c r="BU120" s="80"/>
      <c r="BV120" s="80"/>
      <c r="BW120" s="80"/>
      <c r="BX120" s="80"/>
      <c r="BY120" s="80"/>
      <c r="BZ120" s="80"/>
      <c r="CA120" s="80"/>
      <c r="CB120" s="80"/>
    </row>
    <row r="121" spans="1:80" ht="18" x14ac:dyDescent="0.35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  <c r="BM121" s="80"/>
      <c r="BN121" s="80"/>
      <c r="BO121" s="80"/>
      <c r="BP121" s="80"/>
      <c r="BQ121" s="80"/>
      <c r="BR121" s="80"/>
      <c r="BS121" s="80"/>
      <c r="BT121" s="80"/>
      <c r="BU121" s="80"/>
      <c r="BV121" s="80"/>
      <c r="BW121" s="80"/>
      <c r="BX121" s="80"/>
      <c r="BY121" s="80"/>
      <c r="BZ121" s="80"/>
      <c r="CA121" s="80"/>
      <c r="CB121" s="80"/>
    </row>
    <row r="122" spans="1:80" ht="18" x14ac:dyDescent="0.35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  <c r="BM122" s="80"/>
      <c r="BN122" s="80"/>
      <c r="BO122" s="80"/>
      <c r="BP122" s="80"/>
      <c r="BQ122" s="80"/>
      <c r="BR122" s="80"/>
      <c r="BS122" s="80"/>
      <c r="BT122" s="80"/>
      <c r="BU122" s="80"/>
      <c r="BV122" s="80"/>
      <c r="BW122" s="80"/>
      <c r="BX122" s="80"/>
      <c r="BY122" s="80"/>
      <c r="BZ122" s="80"/>
      <c r="CA122" s="80"/>
      <c r="CB122" s="80"/>
    </row>
    <row r="123" spans="1:80" ht="18" x14ac:dyDescent="0.35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  <c r="BM123" s="80"/>
      <c r="BN123" s="80"/>
      <c r="BO123" s="80"/>
      <c r="BP123" s="80"/>
      <c r="BQ123" s="80"/>
      <c r="BR123" s="80"/>
      <c r="BS123" s="80"/>
      <c r="BT123" s="80"/>
      <c r="BU123" s="80"/>
      <c r="BV123" s="80"/>
      <c r="BW123" s="80"/>
      <c r="BX123" s="80"/>
      <c r="BY123" s="80"/>
      <c r="BZ123" s="80"/>
      <c r="CA123" s="80"/>
      <c r="CB123" s="80"/>
    </row>
    <row r="124" spans="1:80" ht="18" x14ac:dyDescent="0.35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  <c r="BM124" s="80"/>
      <c r="BN124" s="80"/>
      <c r="BO124" s="80"/>
      <c r="BP124" s="80"/>
      <c r="BQ124" s="80"/>
      <c r="BR124" s="80"/>
      <c r="BS124" s="80"/>
      <c r="BT124" s="80"/>
      <c r="BU124" s="80"/>
      <c r="BV124" s="80"/>
      <c r="BW124" s="80"/>
      <c r="BX124" s="80"/>
      <c r="BY124" s="80"/>
      <c r="BZ124" s="80"/>
      <c r="CA124" s="80"/>
      <c r="CB124" s="80"/>
    </row>
    <row r="125" spans="1:80" ht="18" x14ac:dyDescent="0.35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  <c r="BM125" s="80"/>
      <c r="BN125" s="80"/>
      <c r="BO125" s="80"/>
      <c r="BP125" s="80"/>
      <c r="BQ125" s="80"/>
      <c r="BR125" s="80"/>
      <c r="BS125" s="80"/>
      <c r="BT125" s="80"/>
      <c r="BU125" s="80"/>
      <c r="BV125" s="80"/>
      <c r="BW125" s="80"/>
      <c r="BX125" s="80"/>
      <c r="BY125" s="80"/>
      <c r="BZ125" s="80"/>
      <c r="CA125" s="80"/>
      <c r="CB125" s="80"/>
    </row>
    <row r="126" spans="1:80" ht="18" x14ac:dyDescent="0.35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  <c r="BM126" s="80"/>
      <c r="BN126" s="80"/>
      <c r="BO126" s="80"/>
      <c r="BP126" s="80"/>
      <c r="BQ126" s="80"/>
      <c r="BR126" s="80"/>
      <c r="BS126" s="80"/>
      <c r="BT126" s="80"/>
      <c r="BU126" s="80"/>
      <c r="BV126" s="80"/>
      <c r="BW126" s="80"/>
      <c r="BX126" s="80"/>
      <c r="BY126" s="80"/>
      <c r="BZ126" s="80"/>
      <c r="CA126" s="80"/>
      <c r="CB126" s="80"/>
    </row>
    <row r="127" spans="1:80" ht="18" x14ac:dyDescent="0.35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  <c r="BM127" s="80"/>
      <c r="BN127" s="80"/>
      <c r="BO127" s="80"/>
      <c r="BP127" s="80"/>
      <c r="BQ127" s="80"/>
      <c r="BR127" s="80"/>
      <c r="BS127" s="80"/>
      <c r="BT127" s="80"/>
      <c r="BU127" s="80"/>
      <c r="BV127" s="80"/>
      <c r="BW127" s="80"/>
      <c r="BX127" s="80"/>
      <c r="BY127" s="80"/>
      <c r="BZ127" s="80"/>
      <c r="CA127" s="80"/>
      <c r="CB127" s="80"/>
    </row>
    <row r="128" spans="1:80" ht="18" x14ac:dyDescent="0.3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  <c r="BM128" s="80"/>
      <c r="BN128" s="80"/>
      <c r="BO128" s="80"/>
      <c r="BP128" s="80"/>
      <c r="BQ128" s="80"/>
      <c r="BR128" s="80"/>
      <c r="BS128" s="80"/>
      <c r="BT128" s="80"/>
      <c r="BU128" s="80"/>
      <c r="BV128" s="80"/>
      <c r="BW128" s="80"/>
      <c r="BX128" s="80"/>
      <c r="BY128" s="80"/>
      <c r="BZ128" s="80"/>
      <c r="CA128" s="80"/>
      <c r="CB128" s="80"/>
    </row>
    <row r="129" spans="1:80" ht="18" x14ac:dyDescent="0.35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  <c r="BM129" s="80"/>
      <c r="BN129" s="80"/>
      <c r="BO129" s="80"/>
      <c r="BP129" s="80"/>
      <c r="BQ129" s="80"/>
      <c r="BR129" s="80"/>
      <c r="BS129" s="80"/>
      <c r="BT129" s="80"/>
      <c r="BU129" s="80"/>
      <c r="BV129" s="80"/>
      <c r="BW129" s="80"/>
      <c r="BX129" s="80"/>
      <c r="BY129" s="80"/>
      <c r="BZ129" s="80"/>
      <c r="CA129" s="80"/>
      <c r="CB129" s="80"/>
    </row>
    <row r="130" spans="1:80" ht="18" x14ac:dyDescent="0.35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  <c r="BT130" s="80"/>
      <c r="BU130" s="80"/>
      <c r="BV130" s="80"/>
      <c r="BW130" s="80"/>
      <c r="BX130" s="80"/>
      <c r="BY130" s="80"/>
      <c r="BZ130" s="80"/>
      <c r="CA130" s="80"/>
      <c r="CB130" s="80"/>
    </row>
    <row r="131" spans="1:80" ht="18" x14ac:dyDescent="0.35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  <c r="BM131" s="80"/>
      <c r="BN131" s="80"/>
      <c r="BO131" s="80"/>
      <c r="BP131" s="80"/>
      <c r="BQ131" s="80"/>
      <c r="BR131" s="80"/>
      <c r="BS131" s="80"/>
      <c r="BT131" s="80"/>
      <c r="BU131" s="80"/>
      <c r="BV131" s="80"/>
      <c r="BW131" s="80"/>
      <c r="BX131" s="80"/>
      <c r="BY131" s="80"/>
      <c r="BZ131" s="80"/>
      <c r="CA131" s="80"/>
      <c r="CB131" s="80"/>
    </row>
    <row r="132" spans="1:80" ht="18" x14ac:dyDescent="0.35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  <c r="BM132" s="80"/>
      <c r="BN132" s="80"/>
      <c r="BO132" s="80"/>
      <c r="BP132" s="80"/>
      <c r="BQ132" s="80"/>
      <c r="BR132" s="80"/>
      <c r="BS132" s="80"/>
      <c r="BT132" s="80"/>
      <c r="BU132" s="80"/>
      <c r="BV132" s="80"/>
      <c r="BW132" s="80"/>
      <c r="BX132" s="80"/>
      <c r="BY132" s="80"/>
      <c r="BZ132" s="80"/>
      <c r="CA132" s="80"/>
      <c r="CB132" s="80"/>
    </row>
    <row r="133" spans="1:80" ht="18" x14ac:dyDescent="0.35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  <c r="BM133" s="80"/>
      <c r="BN133" s="80"/>
      <c r="BO133" s="80"/>
      <c r="BP133" s="80"/>
      <c r="BQ133" s="80"/>
      <c r="BR133" s="80"/>
      <c r="BS133" s="80"/>
      <c r="BT133" s="80"/>
      <c r="BU133" s="80"/>
      <c r="BV133" s="80"/>
      <c r="BW133" s="80"/>
      <c r="BX133" s="80"/>
      <c r="BY133" s="80"/>
      <c r="BZ133" s="80"/>
      <c r="CA133" s="80"/>
      <c r="CB133" s="80"/>
    </row>
    <row r="134" spans="1:80" ht="18" x14ac:dyDescent="0.35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  <c r="BM134" s="80"/>
      <c r="BN134" s="80"/>
      <c r="BO134" s="80"/>
      <c r="BP134" s="80"/>
      <c r="BQ134" s="80"/>
      <c r="BR134" s="80"/>
      <c r="BS134" s="80"/>
      <c r="BT134" s="80"/>
      <c r="BU134" s="80"/>
      <c r="BV134" s="80"/>
      <c r="BW134" s="80"/>
      <c r="BX134" s="80"/>
      <c r="BY134" s="80"/>
      <c r="BZ134" s="80"/>
      <c r="CA134" s="80"/>
      <c r="CB134" s="80"/>
    </row>
    <row r="135" spans="1:80" ht="18" x14ac:dyDescent="0.35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  <c r="BM135" s="80"/>
      <c r="BN135" s="80"/>
      <c r="BO135" s="80"/>
      <c r="BP135" s="80"/>
      <c r="BQ135" s="80"/>
      <c r="BR135" s="80"/>
      <c r="BS135" s="80"/>
      <c r="BT135" s="80"/>
      <c r="BU135" s="80"/>
      <c r="BV135" s="80"/>
      <c r="BW135" s="80"/>
      <c r="BX135" s="80"/>
      <c r="BY135" s="80"/>
      <c r="BZ135" s="80"/>
      <c r="CA135" s="80"/>
      <c r="CB135" s="80"/>
    </row>
    <row r="136" spans="1:80" ht="18" x14ac:dyDescent="0.35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  <c r="BM136" s="80"/>
      <c r="BN136" s="80"/>
      <c r="BO136" s="80"/>
      <c r="BP136" s="80"/>
      <c r="BQ136" s="80"/>
      <c r="BR136" s="80"/>
      <c r="BS136" s="80"/>
      <c r="BT136" s="80"/>
      <c r="BU136" s="80"/>
      <c r="BV136" s="80"/>
      <c r="BW136" s="80"/>
      <c r="BX136" s="80"/>
      <c r="BY136" s="80"/>
      <c r="BZ136" s="80"/>
      <c r="CA136" s="80"/>
      <c r="CB136" s="80"/>
    </row>
    <row r="137" spans="1:80" ht="18" x14ac:dyDescent="0.35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  <c r="BM137" s="80"/>
      <c r="BN137" s="80"/>
      <c r="BO137" s="80"/>
      <c r="BP137" s="80"/>
      <c r="BQ137" s="80"/>
      <c r="BR137" s="80"/>
      <c r="BS137" s="80"/>
      <c r="BT137" s="80"/>
      <c r="BU137" s="80"/>
      <c r="BV137" s="80"/>
      <c r="BW137" s="80"/>
      <c r="BX137" s="80"/>
      <c r="BY137" s="80"/>
      <c r="BZ137" s="80"/>
      <c r="CA137" s="80"/>
      <c r="CB137" s="80"/>
    </row>
    <row r="138" spans="1:80" ht="18" x14ac:dyDescent="0.35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  <c r="BM138" s="80"/>
      <c r="BN138" s="80"/>
      <c r="BO138" s="80"/>
      <c r="BP138" s="80"/>
      <c r="BQ138" s="80"/>
      <c r="BR138" s="80"/>
      <c r="BS138" s="80"/>
      <c r="BT138" s="80"/>
      <c r="BU138" s="80"/>
      <c r="BV138" s="80"/>
      <c r="BW138" s="80"/>
      <c r="BX138" s="80"/>
      <c r="BY138" s="80"/>
      <c r="BZ138" s="80"/>
      <c r="CA138" s="80"/>
      <c r="CB138" s="80"/>
    </row>
    <row r="139" spans="1:80" ht="18" x14ac:dyDescent="0.35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  <c r="BM139" s="80"/>
      <c r="BN139" s="80"/>
      <c r="BO139" s="80"/>
      <c r="BP139" s="80"/>
      <c r="BQ139" s="80"/>
      <c r="BR139" s="80"/>
      <c r="BS139" s="80"/>
      <c r="BT139" s="80"/>
      <c r="BU139" s="80"/>
      <c r="BV139" s="80"/>
      <c r="BW139" s="80"/>
      <c r="BX139" s="80"/>
      <c r="BY139" s="80"/>
      <c r="BZ139" s="80"/>
      <c r="CA139" s="80"/>
      <c r="CB139" s="80"/>
    </row>
    <row r="140" spans="1:80" ht="18" x14ac:dyDescent="0.35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  <c r="BM140" s="80"/>
      <c r="BN140" s="80"/>
      <c r="BO140" s="80"/>
      <c r="BP140" s="80"/>
      <c r="BQ140" s="80"/>
      <c r="BR140" s="80"/>
      <c r="BS140" s="80"/>
      <c r="BT140" s="80"/>
      <c r="BU140" s="80"/>
      <c r="BV140" s="80"/>
      <c r="BW140" s="80"/>
      <c r="BX140" s="80"/>
      <c r="BY140" s="80"/>
      <c r="BZ140" s="80"/>
      <c r="CA140" s="80"/>
      <c r="CB140" s="80"/>
    </row>
    <row r="141" spans="1:80" ht="18" x14ac:dyDescent="0.35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  <c r="BM141" s="80"/>
      <c r="BN141" s="80"/>
      <c r="BO141" s="80"/>
      <c r="BP141" s="80"/>
      <c r="BQ141" s="80"/>
      <c r="BR141" s="80"/>
      <c r="BS141" s="80"/>
      <c r="BT141" s="80"/>
      <c r="BU141" s="80"/>
      <c r="BV141" s="80"/>
      <c r="BW141" s="80"/>
      <c r="BX141" s="80"/>
      <c r="BY141" s="80"/>
      <c r="BZ141" s="80"/>
      <c r="CA141" s="80"/>
      <c r="CB141" s="80"/>
    </row>
    <row r="142" spans="1:80" ht="18" x14ac:dyDescent="0.35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</row>
    <row r="143" spans="1:80" ht="18" x14ac:dyDescent="0.35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  <c r="BM143" s="80"/>
      <c r="BN143" s="80"/>
      <c r="BO143" s="80"/>
      <c r="BP143" s="80"/>
      <c r="BQ143" s="80"/>
      <c r="BR143" s="80"/>
      <c r="BS143" s="80"/>
      <c r="BT143" s="80"/>
      <c r="BU143" s="80"/>
      <c r="BV143" s="80"/>
      <c r="BW143" s="80"/>
      <c r="BX143" s="80"/>
      <c r="BY143" s="80"/>
      <c r="BZ143" s="80"/>
      <c r="CA143" s="80"/>
      <c r="CB143" s="80"/>
    </row>
    <row r="144" spans="1:80" ht="18" x14ac:dyDescent="0.35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  <c r="BT144" s="80"/>
      <c r="BU144" s="80"/>
      <c r="BV144" s="80"/>
      <c r="BW144" s="80"/>
      <c r="BX144" s="80"/>
      <c r="BY144" s="80"/>
      <c r="BZ144" s="80"/>
      <c r="CA144" s="80"/>
      <c r="CB144" s="80"/>
    </row>
    <row r="145" spans="1:80" ht="18" x14ac:dyDescent="0.35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  <c r="BT145" s="80"/>
      <c r="BU145" s="80"/>
      <c r="BV145" s="80"/>
      <c r="BW145" s="80"/>
      <c r="BX145" s="80"/>
      <c r="BY145" s="80"/>
      <c r="BZ145" s="80"/>
      <c r="CA145" s="80"/>
      <c r="CB145" s="80"/>
    </row>
    <row r="146" spans="1:80" ht="18" x14ac:dyDescent="0.35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  <c r="BZ146" s="80"/>
      <c r="CA146" s="80"/>
      <c r="CB146" s="80"/>
    </row>
    <row r="147" spans="1:80" ht="18" x14ac:dyDescent="0.35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  <c r="BM147" s="80"/>
      <c r="BN147" s="80"/>
      <c r="BO147" s="80"/>
      <c r="BP147" s="80"/>
      <c r="BQ147" s="80"/>
      <c r="BR147" s="80"/>
      <c r="BS147" s="80"/>
      <c r="BT147" s="80"/>
      <c r="BU147" s="80"/>
      <c r="BV147" s="80"/>
      <c r="BW147" s="80"/>
      <c r="BX147" s="80"/>
      <c r="BY147" s="80"/>
      <c r="BZ147" s="80"/>
      <c r="CA147" s="80"/>
      <c r="CB147" s="80"/>
    </row>
    <row r="148" spans="1:80" ht="18" x14ac:dyDescent="0.35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  <c r="BM148" s="80"/>
      <c r="BN148" s="80"/>
      <c r="BO148" s="80"/>
      <c r="BP148" s="80"/>
      <c r="BQ148" s="80"/>
      <c r="BR148" s="80"/>
      <c r="BS148" s="80"/>
      <c r="BT148" s="80"/>
      <c r="BU148" s="80"/>
      <c r="BV148" s="80"/>
      <c r="BW148" s="80"/>
      <c r="BX148" s="80"/>
      <c r="BY148" s="80"/>
      <c r="BZ148" s="80"/>
      <c r="CA148" s="80"/>
      <c r="CB148" s="80"/>
    </row>
    <row r="149" spans="1:80" ht="18" x14ac:dyDescent="0.35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  <c r="BM149" s="80"/>
      <c r="BN149" s="80"/>
      <c r="BO149" s="80"/>
      <c r="BP149" s="80"/>
      <c r="BQ149" s="80"/>
      <c r="BR149" s="80"/>
      <c r="BS149" s="80"/>
      <c r="BT149" s="80"/>
      <c r="BU149" s="80"/>
      <c r="BV149" s="80"/>
      <c r="BW149" s="80"/>
      <c r="BX149" s="80"/>
      <c r="BY149" s="80"/>
      <c r="BZ149" s="80"/>
      <c r="CA149" s="80"/>
      <c r="CB149" s="80"/>
    </row>
    <row r="150" spans="1:80" ht="18" x14ac:dyDescent="0.35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  <c r="BM150" s="80"/>
      <c r="BN150" s="80"/>
      <c r="BO150" s="80"/>
      <c r="BP150" s="80"/>
      <c r="BQ150" s="80"/>
      <c r="BR150" s="80"/>
      <c r="BS150" s="80"/>
      <c r="BT150" s="80"/>
      <c r="BU150" s="80"/>
      <c r="BV150" s="80"/>
      <c r="BW150" s="80"/>
      <c r="BX150" s="80"/>
      <c r="BY150" s="80"/>
      <c r="BZ150" s="80"/>
      <c r="CA150" s="80"/>
      <c r="CB150" s="80"/>
    </row>
    <row r="151" spans="1:80" ht="18" x14ac:dyDescent="0.35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  <c r="BM151" s="80"/>
      <c r="BN151" s="80"/>
      <c r="BO151" s="80"/>
      <c r="BP151" s="80"/>
      <c r="BQ151" s="80"/>
      <c r="BR151" s="80"/>
      <c r="BS151" s="80"/>
      <c r="BT151" s="80"/>
      <c r="BU151" s="80"/>
      <c r="BV151" s="80"/>
      <c r="BW151" s="80"/>
      <c r="BX151" s="80"/>
      <c r="BY151" s="80"/>
      <c r="BZ151" s="80"/>
      <c r="CA151" s="80"/>
      <c r="CB151" s="80"/>
    </row>
    <row r="152" spans="1:80" ht="18" x14ac:dyDescent="0.35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  <c r="BT152" s="80"/>
      <c r="BU152" s="80"/>
      <c r="BV152" s="80"/>
      <c r="BW152" s="80"/>
      <c r="BX152" s="80"/>
      <c r="BY152" s="80"/>
      <c r="BZ152" s="80"/>
      <c r="CA152" s="80"/>
      <c r="CB152" s="80"/>
    </row>
    <row r="153" spans="1:80" ht="18" x14ac:dyDescent="0.35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  <c r="BM153" s="80"/>
      <c r="BN153" s="80"/>
      <c r="BO153" s="80"/>
      <c r="BP153" s="80"/>
      <c r="BQ153" s="80"/>
      <c r="BR153" s="80"/>
      <c r="BS153" s="80"/>
      <c r="BT153" s="80"/>
      <c r="BU153" s="80"/>
      <c r="BV153" s="80"/>
      <c r="BW153" s="80"/>
      <c r="BX153" s="80"/>
      <c r="BY153" s="80"/>
      <c r="BZ153" s="80"/>
      <c r="CA153" s="80"/>
      <c r="CB153" s="80"/>
    </row>
    <row r="154" spans="1:80" ht="18" x14ac:dyDescent="0.35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  <c r="BM154" s="80"/>
      <c r="BN154" s="80"/>
      <c r="BO154" s="80"/>
      <c r="BP154" s="80"/>
      <c r="BQ154" s="80"/>
      <c r="BR154" s="80"/>
      <c r="BS154" s="80"/>
      <c r="BT154" s="80"/>
      <c r="BU154" s="80"/>
      <c r="BV154" s="80"/>
      <c r="BW154" s="80"/>
      <c r="BX154" s="80"/>
      <c r="BY154" s="80"/>
      <c r="BZ154" s="80"/>
      <c r="CA154" s="80"/>
      <c r="CB154" s="80"/>
    </row>
    <row r="155" spans="1:80" ht="18" x14ac:dyDescent="0.35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  <c r="BM155" s="80"/>
      <c r="BN155" s="80"/>
      <c r="BO155" s="80"/>
      <c r="BP155" s="80"/>
      <c r="BQ155" s="80"/>
      <c r="BR155" s="80"/>
      <c r="BS155" s="80"/>
      <c r="BT155" s="80"/>
      <c r="BU155" s="80"/>
      <c r="BV155" s="80"/>
      <c r="BW155" s="80"/>
      <c r="BX155" s="80"/>
      <c r="BY155" s="80"/>
      <c r="BZ155" s="80"/>
      <c r="CA155" s="80"/>
      <c r="CB155" s="80"/>
    </row>
    <row r="156" spans="1:80" ht="18" x14ac:dyDescent="0.35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  <c r="BM156" s="80"/>
      <c r="BN156" s="80"/>
      <c r="BO156" s="80"/>
      <c r="BP156" s="80"/>
      <c r="BQ156" s="80"/>
      <c r="BR156" s="80"/>
      <c r="BS156" s="80"/>
      <c r="BT156" s="80"/>
      <c r="BU156" s="80"/>
      <c r="BV156" s="80"/>
      <c r="BW156" s="80"/>
      <c r="BX156" s="80"/>
      <c r="BY156" s="80"/>
      <c r="BZ156" s="80"/>
      <c r="CA156" s="80"/>
      <c r="CB156" s="80"/>
    </row>
    <row r="157" spans="1:80" ht="18" x14ac:dyDescent="0.35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  <c r="BM157" s="80"/>
      <c r="BN157" s="80"/>
      <c r="BO157" s="80"/>
      <c r="BP157" s="80"/>
      <c r="BQ157" s="80"/>
      <c r="BR157" s="80"/>
      <c r="BS157" s="80"/>
      <c r="BT157" s="80"/>
      <c r="BU157" s="80"/>
      <c r="BV157" s="80"/>
      <c r="BW157" s="80"/>
      <c r="BX157" s="80"/>
      <c r="BY157" s="80"/>
      <c r="BZ157" s="80"/>
      <c r="CA157" s="80"/>
      <c r="CB157" s="80"/>
    </row>
    <row r="158" spans="1:80" ht="18" x14ac:dyDescent="0.35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  <c r="BM158" s="80"/>
      <c r="BN158" s="80"/>
      <c r="BO158" s="80"/>
      <c r="BP158" s="80"/>
      <c r="BQ158" s="80"/>
      <c r="BR158" s="80"/>
      <c r="BS158" s="80"/>
      <c r="BT158" s="80"/>
      <c r="BU158" s="80"/>
      <c r="BV158" s="80"/>
      <c r="BW158" s="80"/>
      <c r="BX158" s="80"/>
      <c r="BY158" s="80"/>
      <c r="BZ158" s="80"/>
      <c r="CA158" s="80"/>
      <c r="CB158" s="80"/>
    </row>
    <row r="159" spans="1:80" ht="18" x14ac:dyDescent="0.35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  <c r="BM159" s="80"/>
      <c r="BN159" s="80"/>
      <c r="BO159" s="80"/>
      <c r="BP159" s="80"/>
      <c r="BQ159" s="80"/>
      <c r="BR159" s="80"/>
      <c r="BS159" s="80"/>
      <c r="BT159" s="80"/>
      <c r="BU159" s="80"/>
      <c r="BV159" s="80"/>
      <c r="BW159" s="80"/>
      <c r="BX159" s="80"/>
      <c r="BY159" s="80"/>
      <c r="BZ159" s="80"/>
      <c r="CA159" s="80"/>
      <c r="CB159" s="80"/>
    </row>
    <row r="160" spans="1:80" ht="18" x14ac:dyDescent="0.35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80"/>
      <c r="BQ160" s="80"/>
      <c r="BR160" s="80"/>
      <c r="BS160" s="80"/>
      <c r="BT160" s="80"/>
      <c r="BU160" s="80"/>
      <c r="BV160" s="80"/>
      <c r="BW160" s="80"/>
      <c r="BX160" s="80"/>
      <c r="BY160" s="80"/>
      <c r="BZ160" s="80"/>
      <c r="CA160" s="80"/>
      <c r="CB160" s="80"/>
    </row>
    <row r="161" spans="1:80" ht="18" x14ac:dyDescent="0.35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  <c r="BM161" s="80"/>
      <c r="BN161" s="80"/>
      <c r="BO161" s="80"/>
      <c r="BP161" s="80"/>
      <c r="BQ161" s="80"/>
      <c r="BR161" s="80"/>
      <c r="BS161" s="80"/>
      <c r="BT161" s="80"/>
      <c r="BU161" s="80"/>
      <c r="BV161" s="80"/>
      <c r="BW161" s="80"/>
      <c r="BX161" s="80"/>
      <c r="BY161" s="80"/>
      <c r="BZ161" s="80"/>
      <c r="CA161" s="80"/>
      <c r="CB161" s="80"/>
    </row>
    <row r="162" spans="1:80" ht="18" x14ac:dyDescent="0.35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  <c r="BM162" s="80"/>
      <c r="BN162" s="80"/>
      <c r="BO162" s="80"/>
      <c r="BP162" s="80"/>
      <c r="BQ162" s="80"/>
      <c r="BR162" s="80"/>
      <c r="BS162" s="80"/>
      <c r="BT162" s="80"/>
      <c r="BU162" s="80"/>
      <c r="BV162" s="80"/>
      <c r="BW162" s="80"/>
      <c r="BX162" s="80"/>
      <c r="BY162" s="80"/>
      <c r="BZ162" s="80"/>
      <c r="CA162" s="80"/>
      <c r="CB162" s="80"/>
    </row>
    <row r="163" spans="1:80" ht="18" x14ac:dyDescent="0.35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  <c r="BM163" s="80"/>
      <c r="BN163" s="80"/>
      <c r="BO163" s="80"/>
      <c r="BP163" s="80"/>
      <c r="BQ163" s="80"/>
      <c r="BR163" s="80"/>
      <c r="BS163" s="80"/>
      <c r="BT163" s="80"/>
      <c r="BU163" s="80"/>
      <c r="BV163" s="80"/>
      <c r="BW163" s="80"/>
      <c r="BX163" s="80"/>
      <c r="BY163" s="80"/>
      <c r="BZ163" s="80"/>
      <c r="CA163" s="80"/>
      <c r="CB163" s="80"/>
    </row>
    <row r="164" spans="1:80" ht="18" x14ac:dyDescent="0.35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  <c r="BM164" s="80"/>
      <c r="BN164" s="80"/>
      <c r="BO164" s="80"/>
      <c r="BP164" s="80"/>
      <c r="BQ164" s="80"/>
      <c r="BR164" s="80"/>
      <c r="BS164" s="80"/>
      <c r="BT164" s="80"/>
      <c r="BU164" s="80"/>
      <c r="BV164" s="80"/>
      <c r="BW164" s="80"/>
      <c r="BX164" s="80"/>
      <c r="BY164" s="80"/>
      <c r="BZ164" s="80"/>
      <c r="CA164" s="80"/>
      <c r="CB164" s="80"/>
    </row>
    <row r="165" spans="1:80" ht="18" x14ac:dyDescent="0.35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  <c r="BM165" s="80"/>
      <c r="BN165" s="80"/>
      <c r="BO165" s="80"/>
      <c r="BP165" s="80"/>
      <c r="BQ165" s="80"/>
      <c r="BR165" s="80"/>
      <c r="BS165" s="80"/>
      <c r="BT165" s="80"/>
      <c r="BU165" s="80"/>
      <c r="BV165" s="80"/>
      <c r="BW165" s="80"/>
      <c r="BX165" s="80"/>
      <c r="BY165" s="80"/>
      <c r="BZ165" s="80"/>
      <c r="CA165" s="80"/>
      <c r="CB165" s="80"/>
    </row>
    <row r="166" spans="1:80" ht="18" x14ac:dyDescent="0.35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  <c r="BM166" s="80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  <c r="BZ166" s="80"/>
      <c r="CA166" s="80"/>
      <c r="CB166" s="80"/>
    </row>
    <row r="167" spans="1:80" ht="18" x14ac:dyDescent="0.35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  <c r="BM167" s="80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  <c r="BZ167" s="80"/>
      <c r="CA167" s="80"/>
      <c r="CB167" s="80"/>
    </row>
    <row r="168" spans="1:80" ht="18" x14ac:dyDescent="0.35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  <c r="BM168" s="80"/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  <c r="BZ168" s="80"/>
      <c r="CA168" s="80"/>
      <c r="CB168" s="80"/>
    </row>
    <row r="169" spans="1:80" ht="18" x14ac:dyDescent="0.35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  <c r="BM169" s="80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  <c r="BZ169" s="80"/>
      <c r="CA169" s="80"/>
      <c r="CB169" s="80"/>
    </row>
    <row r="170" spans="1:80" ht="18" x14ac:dyDescent="0.35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  <c r="BM170" s="80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  <c r="BZ170" s="80"/>
      <c r="CA170" s="80"/>
      <c r="CB170" s="80"/>
    </row>
    <row r="171" spans="1:80" ht="18" x14ac:dyDescent="0.35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  <c r="BM171" s="80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  <c r="BZ171" s="80"/>
      <c r="CA171" s="80"/>
      <c r="CB171" s="80"/>
    </row>
    <row r="172" spans="1:80" ht="18" x14ac:dyDescent="0.35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  <c r="BM172" s="80"/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  <c r="BZ172" s="80"/>
      <c r="CA172" s="80"/>
      <c r="CB172" s="80"/>
    </row>
  </sheetData>
  <sheetProtection algorithmName="SHA-512" hashValue="QCAVQhIP/VcC9n5svinRfOWIcJEuY2NQbUzZwybmWxSnUm0iOLKkqjZIW5EcUCcAYznM9EDOY5S57yqMXkL/Lw==" saltValue="8xzaU014CBIs7QUsN7h5WQ==" spinCount="100000" sheet="1" selectLockedCells="1"/>
  <mergeCells count="6">
    <mergeCell ref="B25:D25"/>
    <mergeCell ref="C3:D3"/>
    <mergeCell ref="B21:D21"/>
    <mergeCell ref="B22:D22"/>
    <mergeCell ref="B23:D23"/>
    <mergeCell ref="B24:D24"/>
  </mergeCells>
  <hyperlinks>
    <hyperlink ref="B5" r:id="rId1" xr:uid="{00000000-0004-0000-0200-000000000000}"/>
  </hyperlinks>
  <pageMargins left="0.7" right="0.7" top="0.78740157499999996" bottom="0.78740157499999996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PBrush" shapeId="4097" r:id="rId5">
          <objectPr defaultSize="0" autoPict="0" r:id="rId6">
            <anchor moveWithCells="1" sizeWithCells="1">
              <from>
                <xdr:col>4</xdr:col>
                <xdr:colOff>312420</xdr:colOff>
                <xdr:row>31</xdr:row>
                <xdr:rowOff>60960</xdr:rowOff>
              </from>
              <to>
                <xdr:col>5</xdr:col>
                <xdr:colOff>746760</xdr:colOff>
                <xdr:row>36</xdr:row>
                <xdr:rowOff>83820</xdr:rowOff>
              </to>
            </anchor>
          </objectPr>
        </oleObject>
      </mc:Choice>
      <mc:Fallback>
        <oleObject progId="PBrush" shapeId="4097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8">
    <tabColor rgb="FFB6FF9F"/>
  </sheetPr>
  <dimension ref="A1:M35"/>
  <sheetViews>
    <sheetView showGridLines="0" showRowColHeaders="0" showRuler="0" zoomScaleNormal="100" workbookViewId="0">
      <selection activeCell="A2" sqref="A2"/>
    </sheetView>
  </sheetViews>
  <sheetFormatPr baseColWidth="10" defaultColWidth="11.5546875" defaultRowHeight="14.4" x14ac:dyDescent="0.3"/>
  <cols>
    <col min="1" max="1" width="6.6640625" style="76" customWidth="1"/>
    <col min="2" max="2" width="10.6640625" style="76" customWidth="1"/>
    <col min="3" max="3" width="28.6640625" style="76" customWidth="1"/>
    <col min="4" max="4" width="18.6640625" style="76" customWidth="1"/>
    <col min="5" max="5" width="8.6640625" style="76" customWidth="1"/>
    <col min="6" max="6" width="40.6640625" style="76" customWidth="1"/>
    <col min="7" max="8" width="11.5546875" style="76" hidden="1" customWidth="1"/>
    <col min="9" max="9" width="14.109375" style="76" customWidth="1"/>
    <col min="10" max="16384" width="11.5546875" style="76"/>
  </cols>
  <sheetData>
    <row r="1" spans="1:13" ht="40.200000000000003" customHeight="1" thickBot="1" x14ac:dyDescent="0.6">
      <c r="A1" s="151" t="str">
        <f>Deckblatt!B1</f>
        <v>Süddeutsche Meisterschaft Freestyle</v>
      </c>
      <c r="C1" s="77"/>
      <c r="D1" s="77"/>
      <c r="E1" s="77"/>
      <c r="F1" s="104"/>
      <c r="G1" s="78"/>
      <c r="H1" s="78"/>
      <c r="I1" s="78"/>
      <c r="J1" s="78"/>
      <c r="K1" s="78"/>
    </row>
    <row r="2" spans="1:13" ht="19.95" customHeight="1" thickBot="1" x14ac:dyDescent="0.45">
      <c r="A2" s="155" t="s">
        <v>44</v>
      </c>
      <c r="C2" s="79"/>
      <c r="D2" s="275">
        <f>Meldung!W1</f>
        <v>43911</v>
      </c>
      <c r="E2" s="319">
        <f>D2+1</f>
        <v>43912</v>
      </c>
      <c r="F2" s="319"/>
      <c r="G2" s="272" t="s">
        <v>2</v>
      </c>
      <c r="H2" s="159"/>
      <c r="I2" s="81"/>
      <c r="J2" s="80"/>
      <c r="K2" s="81"/>
    </row>
    <row r="3" spans="1:13" ht="15" customHeight="1" x14ac:dyDescent="0.3">
      <c r="A3" s="105"/>
      <c r="B3" s="16"/>
      <c r="C3" s="16"/>
      <c r="D3" s="12"/>
      <c r="E3" s="12"/>
      <c r="F3" s="105"/>
      <c r="G3" s="91"/>
      <c r="M3" s="92"/>
    </row>
    <row r="4" spans="1:13" ht="49.95" customHeight="1" x14ac:dyDescent="0.3">
      <c r="A4" s="111" t="s">
        <v>20</v>
      </c>
      <c r="B4" s="114" t="s">
        <v>60</v>
      </c>
      <c r="C4" s="111" t="s">
        <v>3</v>
      </c>
      <c r="D4" s="111" t="s">
        <v>4</v>
      </c>
      <c r="E4" s="115" t="s">
        <v>47</v>
      </c>
      <c r="F4" s="160" t="s">
        <v>12</v>
      </c>
      <c r="G4" s="91"/>
      <c r="M4" s="92"/>
    </row>
    <row r="5" spans="1:13" ht="15.6" x14ac:dyDescent="0.3">
      <c r="A5" s="161">
        <v>1</v>
      </c>
      <c r="B5" s="267" t="str">
        <f>IFERROR(INDEX(Teilnehmer[LfNr],_xlfn.AGGREGATE(15,6,ROW(Teilnehmer[LfNr])/((Teilnehmer[Geschlecht]=$G$2)*(Teilnehmer[Einzelkür]="ja")),ROW()-4)-1,1),"")</f>
        <v/>
      </c>
      <c r="C5" s="162" t="str">
        <f>IFERROR(VLOOKUP($B5,Teilnehmer[],2,FALSE),"")</f>
        <v/>
      </c>
      <c r="D5" s="162" t="str">
        <f>IFERROR(VLOOKUP($B5,Teilnehmer[],3,FALSE),"")</f>
        <v/>
      </c>
      <c r="E5" s="163" t="str">
        <f>IFERROR(VLOOKUP($B5,Teilnehmer[],5,FALSE),"")</f>
        <v/>
      </c>
      <c r="F5" s="270" t="str">
        <f>IFERROR(VLOOKUP($B5,Teilnehmer[],8,FALSE),"")</f>
        <v/>
      </c>
      <c r="G5" s="91"/>
      <c r="M5" s="92"/>
    </row>
    <row r="6" spans="1:13" x14ac:dyDescent="0.3">
      <c r="A6" s="164">
        <f>A5+1</f>
        <v>2</v>
      </c>
      <c r="B6" s="267" t="str">
        <f>IFERROR(INDEX(Teilnehmer[LfNr],_xlfn.AGGREGATE(15,6,ROW(Teilnehmer[LfNr])/((Teilnehmer[Geschlecht]=$G$2)*(Teilnehmer[Einzelkür]="ja")),ROW()-4)-1,1),"")</f>
        <v/>
      </c>
      <c r="C6" s="165" t="str">
        <f>IFERROR(VLOOKUP($B6,Teilnehmer[],2,FALSE),"")</f>
        <v/>
      </c>
      <c r="D6" s="166" t="str">
        <f>IFERROR(VLOOKUP($B6,Teilnehmer[],3,FALSE),"")</f>
        <v/>
      </c>
      <c r="E6" s="167" t="str">
        <f>IFERROR(VLOOKUP($B6,Teilnehmer[],5,FALSE),"")</f>
        <v/>
      </c>
      <c r="F6" s="270" t="str">
        <f>IFERROR(VLOOKUP($B6,Teilnehmer[],8,FALSE),"")</f>
        <v/>
      </c>
    </row>
    <row r="7" spans="1:13" x14ac:dyDescent="0.3">
      <c r="A7" s="164">
        <f t="shared" ref="A7:A35" si="0">A6+1</f>
        <v>3</v>
      </c>
      <c r="B7" s="267" t="str">
        <f>IFERROR(INDEX(Teilnehmer[LfNr],_xlfn.AGGREGATE(15,6,ROW(Teilnehmer[LfNr])/((Teilnehmer[Geschlecht]=$G$2)*(Teilnehmer[Einzelkür]="ja")),ROW()-4)-1,1),"")</f>
        <v/>
      </c>
      <c r="C7" s="165" t="str">
        <f>IFERROR(VLOOKUP($B7,Teilnehmer[],2,FALSE),"")</f>
        <v/>
      </c>
      <c r="D7" s="166" t="str">
        <f>IFERROR(VLOOKUP($B7,Teilnehmer[],3,FALSE),"")</f>
        <v/>
      </c>
      <c r="E7" s="167" t="str">
        <f>IFERROR(VLOOKUP($B7,Teilnehmer[],5,FALSE),"")</f>
        <v/>
      </c>
      <c r="F7" s="270" t="str">
        <f>IFERROR(VLOOKUP($B7,Teilnehmer[],8,FALSE),"")</f>
        <v/>
      </c>
    </row>
    <row r="8" spans="1:13" x14ac:dyDescent="0.3">
      <c r="A8" s="164">
        <f t="shared" si="0"/>
        <v>4</v>
      </c>
      <c r="B8" s="267" t="str">
        <f>IFERROR(INDEX(Teilnehmer[LfNr],_xlfn.AGGREGATE(15,6,ROW(Teilnehmer[LfNr])/((Teilnehmer[Geschlecht]=$G$2)*(Teilnehmer[Einzelkür]="ja")),ROW()-4)-1,1),"")</f>
        <v/>
      </c>
      <c r="C8" s="165" t="str">
        <f>IFERROR(VLOOKUP($B8,Teilnehmer[],2,FALSE),"")</f>
        <v/>
      </c>
      <c r="D8" s="166" t="str">
        <f>IFERROR(VLOOKUP($B8,Teilnehmer[],3,FALSE),"")</f>
        <v/>
      </c>
      <c r="E8" s="167" t="str">
        <f>IFERROR(VLOOKUP($B8,Teilnehmer[],5,FALSE),"")</f>
        <v/>
      </c>
      <c r="F8" s="270" t="str">
        <f>IFERROR(VLOOKUP($B8,Teilnehmer[],8,FALSE),"")</f>
        <v/>
      </c>
    </row>
    <row r="9" spans="1:13" x14ac:dyDescent="0.3">
      <c r="A9" s="164">
        <f t="shared" si="0"/>
        <v>5</v>
      </c>
      <c r="B9" s="268" t="str">
        <f>IFERROR(INDEX(Teilnehmer[LfNr],_xlfn.AGGREGATE(15,6,ROW(Teilnehmer[LfNr])/((Teilnehmer[Geschlecht]=$G$2)*(Teilnehmer[Einzelkür]="ja")),ROW()-4)-1,1),"")</f>
        <v/>
      </c>
      <c r="C9" s="168" t="str">
        <f>IFERROR(VLOOKUP($B9,Teilnehmer[],2,FALSE),"")</f>
        <v/>
      </c>
      <c r="D9" s="169" t="str">
        <f>IFERROR(VLOOKUP($B9,Teilnehmer[],3,FALSE),"")</f>
        <v/>
      </c>
      <c r="E9" s="170" t="str">
        <f>IFERROR(VLOOKUP($B9,Teilnehmer[],5,FALSE),"")</f>
        <v/>
      </c>
      <c r="F9" s="270" t="str">
        <f>IFERROR(VLOOKUP($B9,Teilnehmer[],8,FALSE),"")</f>
        <v/>
      </c>
    </row>
    <row r="10" spans="1:13" x14ac:dyDescent="0.3">
      <c r="A10" s="164">
        <f t="shared" si="0"/>
        <v>6</v>
      </c>
      <c r="B10" s="268" t="str">
        <f>IFERROR(INDEX(Teilnehmer[LfNr],_xlfn.AGGREGATE(15,6,ROW(Teilnehmer[LfNr])/((Teilnehmer[Geschlecht]=$G$2)*(Teilnehmer[Einzelkür]="ja")),ROW()-4)-1,1),"")</f>
        <v/>
      </c>
      <c r="C10" s="168" t="str">
        <f>IFERROR(VLOOKUP($B10,Teilnehmer[],2,FALSE),"")</f>
        <v/>
      </c>
      <c r="D10" s="169" t="str">
        <f>IFERROR(VLOOKUP($B10,Teilnehmer[],3,FALSE),"")</f>
        <v/>
      </c>
      <c r="E10" s="170" t="str">
        <f>IFERROR(VLOOKUP($B10,Teilnehmer[],5,FALSE),"")</f>
        <v/>
      </c>
      <c r="F10" s="270" t="str">
        <f>IFERROR(VLOOKUP($B10,Teilnehmer[],8,FALSE),"")</f>
        <v/>
      </c>
    </row>
    <row r="11" spans="1:13" x14ac:dyDescent="0.3">
      <c r="A11" s="164">
        <f t="shared" si="0"/>
        <v>7</v>
      </c>
      <c r="B11" s="268" t="str">
        <f>IFERROR(INDEX(Teilnehmer[LfNr],_xlfn.AGGREGATE(15,6,ROW(Teilnehmer[LfNr])/((Teilnehmer[Geschlecht]=$G$2)*(Teilnehmer[Einzelkür]="ja")),ROW()-4)-1,1),"")</f>
        <v/>
      </c>
      <c r="C11" s="168" t="str">
        <f>IFERROR(VLOOKUP($B11,Teilnehmer[],2,FALSE),"")</f>
        <v/>
      </c>
      <c r="D11" s="169" t="str">
        <f>IFERROR(VLOOKUP($B11,Teilnehmer[],3,FALSE),"")</f>
        <v/>
      </c>
      <c r="E11" s="170" t="str">
        <f>IFERROR(VLOOKUP($B11,Teilnehmer[],5,FALSE),"")</f>
        <v/>
      </c>
      <c r="F11" s="270" t="str">
        <f>IFERROR(VLOOKUP($B11,Teilnehmer[],8,FALSE),"")</f>
        <v/>
      </c>
    </row>
    <row r="12" spans="1:13" x14ac:dyDescent="0.3">
      <c r="A12" s="164">
        <f t="shared" si="0"/>
        <v>8</v>
      </c>
      <c r="B12" s="268" t="str">
        <f>IFERROR(INDEX(Teilnehmer[LfNr],_xlfn.AGGREGATE(15,6,ROW(Teilnehmer[LfNr])/((Teilnehmer[Geschlecht]=$G$2)*(Teilnehmer[Einzelkür]="ja")),ROW()-4)-1,1),"")</f>
        <v/>
      </c>
      <c r="C12" s="168" t="str">
        <f>IFERROR(VLOOKUP($B12,Teilnehmer[],2,FALSE),"")</f>
        <v/>
      </c>
      <c r="D12" s="169" t="str">
        <f>IFERROR(VLOOKUP($B12,Teilnehmer[],3,FALSE),"")</f>
        <v/>
      </c>
      <c r="E12" s="170" t="str">
        <f>IFERROR(VLOOKUP($B12,Teilnehmer[],5,FALSE),"")</f>
        <v/>
      </c>
      <c r="F12" s="270" t="str">
        <f>IFERROR(VLOOKUP($B12,Teilnehmer[],8,FALSE),"")</f>
        <v/>
      </c>
    </row>
    <row r="13" spans="1:13" x14ac:dyDescent="0.3">
      <c r="A13" s="164">
        <f t="shared" si="0"/>
        <v>9</v>
      </c>
      <c r="B13" s="268" t="str">
        <f>IFERROR(INDEX(Teilnehmer[LfNr],_xlfn.AGGREGATE(15,6,ROW(Teilnehmer[LfNr])/((Teilnehmer[Geschlecht]=$G$2)*(Teilnehmer[Einzelkür]="ja")),ROW()-4)-1,1),"")</f>
        <v/>
      </c>
      <c r="C13" s="168" t="str">
        <f>IFERROR(VLOOKUP($B13,Teilnehmer[],2,FALSE),"")</f>
        <v/>
      </c>
      <c r="D13" s="169" t="str">
        <f>IFERROR(VLOOKUP($B13,Teilnehmer[],3,FALSE),"")</f>
        <v/>
      </c>
      <c r="E13" s="170" t="str">
        <f>IFERROR(VLOOKUP($B13,Teilnehmer[],5,FALSE),"")</f>
        <v/>
      </c>
      <c r="F13" s="270" t="str">
        <f>IFERROR(VLOOKUP($B13,Teilnehmer[],8,FALSE),"")</f>
        <v/>
      </c>
    </row>
    <row r="14" spans="1:13" x14ac:dyDescent="0.3">
      <c r="A14" s="164">
        <f t="shared" si="0"/>
        <v>10</v>
      </c>
      <c r="B14" s="268" t="str">
        <f>IFERROR(INDEX(Teilnehmer[LfNr],_xlfn.AGGREGATE(15,6,ROW(Teilnehmer[LfNr])/((Teilnehmer[Geschlecht]=$G$2)*(Teilnehmer[Einzelkür]="ja")),ROW()-4)-1,1),"")</f>
        <v/>
      </c>
      <c r="C14" s="168" t="str">
        <f>IFERROR(VLOOKUP($B14,Teilnehmer[],2,FALSE),"")</f>
        <v/>
      </c>
      <c r="D14" s="169" t="str">
        <f>IFERROR(VLOOKUP($B14,Teilnehmer[],3,FALSE),"")</f>
        <v/>
      </c>
      <c r="E14" s="170" t="str">
        <f>IFERROR(VLOOKUP($B14,Teilnehmer[],5,FALSE),"")</f>
        <v/>
      </c>
      <c r="F14" s="270" t="str">
        <f>IFERROR(VLOOKUP($B14,Teilnehmer[],8,FALSE),"")</f>
        <v/>
      </c>
    </row>
    <row r="15" spans="1:13" x14ac:dyDescent="0.3">
      <c r="A15" s="164">
        <f t="shared" si="0"/>
        <v>11</v>
      </c>
      <c r="B15" s="268" t="str">
        <f>IFERROR(INDEX(Teilnehmer[LfNr],_xlfn.AGGREGATE(15,6,ROW(Teilnehmer[LfNr])/((Teilnehmer[Geschlecht]=$G$2)*(Teilnehmer[Einzelkür]="ja")),ROW()-4)-1,1),"")</f>
        <v/>
      </c>
      <c r="C15" s="168" t="str">
        <f>IFERROR(VLOOKUP($B15,Teilnehmer[],2,FALSE),"")</f>
        <v/>
      </c>
      <c r="D15" s="169" t="str">
        <f>IFERROR(VLOOKUP($B15,Teilnehmer[],3,FALSE),"")</f>
        <v/>
      </c>
      <c r="E15" s="170" t="str">
        <f>IFERROR(VLOOKUP($B15,Teilnehmer[],5,FALSE),"")</f>
        <v/>
      </c>
      <c r="F15" s="270" t="str">
        <f>IFERROR(VLOOKUP($B15,Teilnehmer[],8,FALSE),"")</f>
        <v/>
      </c>
    </row>
    <row r="16" spans="1:13" x14ac:dyDescent="0.3">
      <c r="A16" s="164">
        <f t="shared" si="0"/>
        <v>12</v>
      </c>
      <c r="B16" s="268" t="str">
        <f>IFERROR(INDEX(Teilnehmer[LfNr],_xlfn.AGGREGATE(15,6,ROW(Teilnehmer[LfNr])/((Teilnehmer[Geschlecht]=$G$2)*(Teilnehmer[Einzelkür]="ja")),ROW()-4)-1,1),"")</f>
        <v/>
      </c>
      <c r="C16" s="168" t="str">
        <f>IFERROR(VLOOKUP($B16,Teilnehmer[],2,FALSE),"")</f>
        <v/>
      </c>
      <c r="D16" s="169" t="str">
        <f>IFERROR(VLOOKUP($B16,Teilnehmer[],3,FALSE),"")</f>
        <v/>
      </c>
      <c r="E16" s="170" t="str">
        <f>IFERROR(VLOOKUP($B16,Teilnehmer[],5,FALSE),"")</f>
        <v/>
      </c>
      <c r="F16" s="270" t="str">
        <f>IFERROR(VLOOKUP($B16,Teilnehmer[],8,FALSE),"")</f>
        <v/>
      </c>
    </row>
    <row r="17" spans="1:6" x14ac:dyDescent="0.3">
      <c r="A17" s="164">
        <f t="shared" si="0"/>
        <v>13</v>
      </c>
      <c r="B17" s="268" t="str">
        <f>IFERROR(INDEX(Teilnehmer[LfNr],_xlfn.AGGREGATE(15,6,ROW(Teilnehmer[LfNr])/((Teilnehmer[Geschlecht]=$G$2)*(Teilnehmer[Einzelkür]="ja")),ROW()-4)-1,1),"")</f>
        <v/>
      </c>
      <c r="C17" s="168" t="str">
        <f>IFERROR(VLOOKUP($B17,Teilnehmer[],2,FALSE),"")</f>
        <v/>
      </c>
      <c r="D17" s="169" t="str">
        <f>IFERROR(VLOOKUP($B17,Teilnehmer[],3,FALSE),"")</f>
        <v/>
      </c>
      <c r="E17" s="170" t="str">
        <f>IFERROR(VLOOKUP($B17,Teilnehmer[],5,FALSE),"")</f>
        <v/>
      </c>
      <c r="F17" s="270" t="str">
        <f>IFERROR(VLOOKUP($B17,Teilnehmer[],8,FALSE),"")</f>
        <v/>
      </c>
    </row>
    <row r="18" spans="1:6" x14ac:dyDescent="0.3">
      <c r="A18" s="164">
        <f t="shared" si="0"/>
        <v>14</v>
      </c>
      <c r="B18" s="268" t="str">
        <f>IFERROR(INDEX(Teilnehmer[LfNr],_xlfn.AGGREGATE(15,6,ROW(Teilnehmer[LfNr])/((Teilnehmer[Geschlecht]=$G$2)*(Teilnehmer[Einzelkür]="ja")),ROW()-4)-1,1),"")</f>
        <v/>
      </c>
      <c r="C18" s="168" t="str">
        <f>IFERROR(VLOOKUP($B18,Teilnehmer[],2,FALSE),"")</f>
        <v/>
      </c>
      <c r="D18" s="169" t="str">
        <f>IFERROR(VLOOKUP($B18,Teilnehmer[],3,FALSE),"")</f>
        <v/>
      </c>
      <c r="E18" s="170" t="str">
        <f>IFERROR(VLOOKUP($B18,Teilnehmer[],5,FALSE),"")</f>
        <v/>
      </c>
      <c r="F18" s="270" t="str">
        <f>IFERROR(VLOOKUP($B18,Teilnehmer[],8,FALSE),"")</f>
        <v/>
      </c>
    </row>
    <row r="19" spans="1:6" x14ac:dyDescent="0.3">
      <c r="A19" s="164">
        <f t="shared" si="0"/>
        <v>15</v>
      </c>
      <c r="B19" s="268" t="str">
        <f>IFERROR(INDEX(Teilnehmer[LfNr],_xlfn.AGGREGATE(15,6,ROW(Teilnehmer[LfNr])/((Teilnehmer[Geschlecht]=$G$2)*(Teilnehmer[Einzelkür]="ja")),ROW()-4)-1,1),"")</f>
        <v/>
      </c>
      <c r="C19" s="168" t="str">
        <f>IFERROR(VLOOKUP($B19,Teilnehmer[],2,FALSE),"")</f>
        <v/>
      </c>
      <c r="D19" s="169" t="str">
        <f>IFERROR(VLOOKUP($B19,Teilnehmer[],3,FALSE),"")</f>
        <v/>
      </c>
      <c r="E19" s="170" t="str">
        <f>IFERROR(VLOOKUP($B19,Teilnehmer[],5,FALSE),"")</f>
        <v/>
      </c>
      <c r="F19" s="270" t="str">
        <f>IFERROR(VLOOKUP($B19,Teilnehmer[],8,FALSE),"")</f>
        <v/>
      </c>
    </row>
    <row r="20" spans="1:6" x14ac:dyDescent="0.3">
      <c r="A20" s="164">
        <f t="shared" si="0"/>
        <v>16</v>
      </c>
      <c r="B20" s="268" t="str">
        <f>IFERROR(INDEX(Teilnehmer[LfNr],_xlfn.AGGREGATE(15,6,ROW(Teilnehmer[LfNr])/((Teilnehmer[Geschlecht]=$G$2)*(Teilnehmer[Einzelkür]="ja")),ROW()-4)-1,1),"")</f>
        <v/>
      </c>
      <c r="C20" s="168" t="str">
        <f>IFERROR(VLOOKUP($B20,Teilnehmer[],2,FALSE),"")</f>
        <v/>
      </c>
      <c r="D20" s="169" t="str">
        <f>IFERROR(VLOOKUP($B20,Teilnehmer[],3,FALSE),"")</f>
        <v/>
      </c>
      <c r="E20" s="170" t="str">
        <f>IFERROR(VLOOKUP($B20,Teilnehmer[],5,FALSE),"")</f>
        <v/>
      </c>
      <c r="F20" s="270" t="str">
        <f>IFERROR(VLOOKUP($B20,Teilnehmer[],8,FALSE),"")</f>
        <v/>
      </c>
    </row>
    <row r="21" spans="1:6" x14ac:dyDescent="0.3">
      <c r="A21" s="164">
        <f t="shared" si="0"/>
        <v>17</v>
      </c>
      <c r="B21" s="268" t="str">
        <f>IFERROR(INDEX(Teilnehmer[LfNr],_xlfn.AGGREGATE(15,6,ROW(Teilnehmer[LfNr])/((Teilnehmer[Geschlecht]=$G$2)*(Teilnehmer[Einzelkür]="ja")),ROW()-4)-1,1),"")</f>
        <v/>
      </c>
      <c r="C21" s="168" t="str">
        <f>IFERROR(VLOOKUP($B21,Teilnehmer[],2,FALSE),"")</f>
        <v/>
      </c>
      <c r="D21" s="169" t="str">
        <f>IFERROR(VLOOKUP($B21,Teilnehmer[],3,FALSE),"")</f>
        <v/>
      </c>
      <c r="E21" s="170" t="str">
        <f>IFERROR(VLOOKUP($B21,Teilnehmer[],5,FALSE),"")</f>
        <v/>
      </c>
      <c r="F21" s="270" t="str">
        <f>IFERROR(VLOOKUP($B21,Teilnehmer[],8,FALSE),"")</f>
        <v/>
      </c>
    </row>
    <row r="22" spans="1:6" x14ac:dyDescent="0.3">
      <c r="A22" s="164">
        <f t="shared" si="0"/>
        <v>18</v>
      </c>
      <c r="B22" s="268" t="str">
        <f>IFERROR(INDEX(Teilnehmer[LfNr],_xlfn.AGGREGATE(15,6,ROW(Teilnehmer[LfNr])/((Teilnehmer[Geschlecht]=$G$2)*(Teilnehmer[Einzelkür]="ja")),ROW()-4)-1,1),"")</f>
        <v/>
      </c>
      <c r="C22" s="168" t="str">
        <f>IFERROR(VLOOKUP($B22,Teilnehmer[],2,FALSE),"")</f>
        <v/>
      </c>
      <c r="D22" s="169" t="str">
        <f>IFERROR(VLOOKUP($B22,Teilnehmer[],3,FALSE),"")</f>
        <v/>
      </c>
      <c r="E22" s="170" t="str">
        <f>IFERROR(VLOOKUP($B22,Teilnehmer[],5,FALSE),"")</f>
        <v/>
      </c>
      <c r="F22" s="270" t="str">
        <f>IFERROR(VLOOKUP($B22,Teilnehmer[],8,FALSE),"")</f>
        <v/>
      </c>
    </row>
    <row r="23" spans="1:6" x14ac:dyDescent="0.3">
      <c r="A23" s="164">
        <f t="shared" si="0"/>
        <v>19</v>
      </c>
      <c r="B23" s="268" t="str">
        <f>IFERROR(INDEX(Teilnehmer[LfNr],_xlfn.AGGREGATE(15,6,ROW(Teilnehmer[LfNr])/((Teilnehmer[Geschlecht]=$G$2)*(Teilnehmer[Einzelkür]="ja")),ROW()-4)-1,1),"")</f>
        <v/>
      </c>
      <c r="C23" s="168" t="str">
        <f>IFERROR(VLOOKUP($B23,Teilnehmer[],2,FALSE),"")</f>
        <v/>
      </c>
      <c r="D23" s="169" t="str">
        <f>IFERROR(VLOOKUP($B23,Teilnehmer[],3,FALSE),"")</f>
        <v/>
      </c>
      <c r="E23" s="170" t="str">
        <f>IFERROR(VLOOKUP($B23,Teilnehmer[],5,FALSE),"")</f>
        <v/>
      </c>
      <c r="F23" s="270" t="str">
        <f>IFERROR(VLOOKUP($B23,Teilnehmer[],8,FALSE),"")</f>
        <v/>
      </c>
    </row>
    <row r="24" spans="1:6" x14ac:dyDescent="0.3">
      <c r="A24" s="164">
        <f t="shared" si="0"/>
        <v>20</v>
      </c>
      <c r="B24" s="268" t="str">
        <f>IFERROR(INDEX(Teilnehmer[LfNr],_xlfn.AGGREGATE(15,6,ROW(Teilnehmer[LfNr])/((Teilnehmer[Geschlecht]=$G$2)*(Teilnehmer[Einzelkür]="ja")),ROW()-4)-1,1),"")</f>
        <v/>
      </c>
      <c r="C24" s="168" t="str">
        <f>IFERROR(VLOOKUP($B24,Teilnehmer[],2,FALSE),"")</f>
        <v/>
      </c>
      <c r="D24" s="169" t="str">
        <f>IFERROR(VLOOKUP($B24,Teilnehmer[],3,FALSE),"")</f>
        <v/>
      </c>
      <c r="E24" s="170" t="str">
        <f>IFERROR(VLOOKUP($B24,Teilnehmer[],5,FALSE),"")</f>
        <v/>
      </c>
      <c r="F24" s="270" t="str">
        <f>IFERROR(VLOOKUP($B24,Teilnehmer[],8,FALSE),"")</f>
        <v/>
      </c>
    </row>
    <row r="25" spans="1:6" x14ac:dyDescent="0.3">
      <c r="A25" s="164">
        <f t="shared" si="0"/>
        <v>21</v>
      </c>
      <c r="B25" s="268" t="str">
        <f>IFERROR(INDEX(Teilnehmer[LfNr],_xlfn.AGGREGATE(15,6,ROW(Teilnehmer[LfNr])/((Teilnehmer[Geschlecht]=$G$2)*(Teilnehmer[Einzelkür]="ja")),ROW()-4)-1,1),"")</f>
        <v/>
      </c>
      <c r="C25" s="168" t="str">
        <f>IFERROR(VLOOKUP($B25,Teilnehmer[],2,FALSE),"")</f>
        <v/>
      </c>
      <c r="D25" s="169" t="str">
        <f>IFERROR(VLOOKUP($B25,Teilnehmer[],3,FALSE),"")</f>
        <v/>
      </c>
      <c r="E25" s="170" t="str">
        <f>IFERROR(VLOOKUP($B25,Teilnehmer[],5,FALSE),"")</f>
        <v/>
      </c>
      <c r="F25" s="270" t="str">
        <f>IFERROR(VLOOKUP($B25,Teilnehmer[],8,FALSE),"")</f>
        <v/>
      </c>
    </row>
    <row r="26" spans="1:6" x14ac:dyDescent="0.3">
      <c r="A26" s="164">
        <f t="shared" si="0"/>
        <v>22</v>
      </c>
      <c r="B26" s="269" t="str">
        <f>IFERROR(INDEX(Teilnehmer[LfNr],_xlfn.AGGREGATE(15,6,ROW(Teilnehmer[LfNr])/((Teilnehmer[Geschlecht]=$G$2)*(Teilnehmer[Einzelkür]="ja")),ROW()-4)-1,1),"")</f>
        <v/>
      </c>
      <c r="C26" s="165" t="str">
        <f>IFERROR(VLOOKUP($B26,Teilnehmer[],2,FALSE),"")</f>
        <v/>
      </c>
      <c r="D26" s="166" t="str">
        <f>IFERROR(VLOOKUP($B26,Teilnehmer[],3,FALSE),"")</f>
        <v/>
      </c>
      <c r="E26" s="167" t="str">
        <f>IFERROR(VLOOKUP($B26,Teilnehmer[],5,FALSE),"")</f>
        <v/>
      </c>
      <c r="F26" s="270" t="str">
        <f>IFERROR(VLOOKUP($B26,Teilnehmer[],8,FALSE),"")</f>
        <v/>
      </c>
    </row>
    <row r="27" spans="1:6" x14ac:dyDescent="0.3">
      <c r="A27" s="164">
        <f t="shared" si="0"/>
        <v>23</v>
      </c>
      <c r="B27" s="268" t="str">
        <f>IFERROR(INDEX(Teilnehmer[LfNr],_xlfn.AGGREGATE(15,6,ROW(Teilnehmer[LfNr])/((Teilnehmer[Geschlecht]=$G$2)*(Teilnehmer[Einzelkür]="ja")),ROW()-4)-1,1),"")</f>
        <v/>
      </c>
      <c r="C27" s="168" t="str">
        <f>IFERROR(VLOOKUP($B27,Teilnehmer[],2,FALSE),"")</f>
        <v/>
      </c>
      <c r="D27" s="169" t="str">
        <f>IFERROR(VLOOKUP($B27,Teilnehmer[],3,FALSE),"")</f>
        <v/>
      </c>
      <c r="E27" s="170" t="str">
        <f>IFERROR(VLOOKUP($B27,Teilnehmer[],5,FALSE),"")</f>
        <v/>
      </c>
      <c r="F27" s="270" t="str">
        <f>IFERROR(VLOOKUP($B27,Teilnehmer[],8,FALSE),"")</f>
        <v/>
      </c>
    </row>
    <row r="28" spans="1:6" x14ac:dyDescent="0.3">
      <c r="A28" s="164">
        <f t="shared" si="0"/>
        <v>24</v>
      </c>
      <c r="B28" s="268" t="str">
        <f>IFERROR(INDEX(Teilnehmer[LfNr],_xlfn.AGGREGATE(15,6,ROW(Teilnehmer[LfNr])/((Teilnehmer[Geschlecht]=$G$2)*(Teilnehmer[Einzelkür]="ja")),ROW()-4)-1,1),"")</f>
        <v/>
      </c>
      <c r="C28" s="168" t="str">
        <f>IFERROR(VLOOKUP($B28,Teilnehmer[],2,FALSE),"")</f>
        <v/>
      </c>
      <c r="D28" s="169" t="str">
        <f>IFERROR(VLOOKUP($B28,Teilnehmer[],3,FALSE),"")</f>
        <v/>
      </c>
      <c r="E28" s="170" t="str">
        <f>IFERROR(VLOOKUP($B28,Teilnehmer[],5,FALSE),"")</f>
        <v/>
      </c>
      <c r="F28" s="270" t="str">
        <f>IFERROR(VLOOKUP($B28,Teilnehmer[],8,FALSE),"")</f>
        <v/>
      </c>
    </row>
    <row r="29" spans="1:6" x14ac:dyDescent="0.3">
      <c r="A29" s="164">
        <f t="shared" si="0"/>
        <v>25</v>
      </c>
      <c r="B29" s="268" t="str">
        <f>IFERROR(INDEX(Teilnehmer[LfNr],_xlfn.AGGREGATE(15,6,ROW(Teilnehmer[LfNr])/((Teilnehmer[Geschlecht]=$G$2)*(Teilnehmer[Einzelkür]="ja")),ROW()-4)-1,1),"")</f>
        <v/>
      </c>
      <c r="C29" s="168" t="str">
        <f>IFERROR(VLOOKUP($B29,Teilnehmer[],2,FALSE),"")</f>
        <v/>
      </c>
      <c r="D29" s="169" t="str">
        <f>IFERROR(VLOOKUP($B29,Teilnehmer[],3,FALSE),"")</f>
        <v/>
      </c>
      <c r="E29" s="170" t="str">
        <f>IFERROR(VLOOKUP($B29,Teilnehmer[],5,FALSE),"")</f>
        <v/>
      </c>
      <c r="F29" s="270" t="str">
        <f>IFERROR(VLOOKUP($B29,Teilnehmer[],8,FALSE),"")</f>
        <v/>
      </c>
    </row>
    <row r="30" spans="1:6" x14ac:dyDescent="0.3">
      <c r="A30" s="164">
        <f t="shared" si="0"/>
        <v>26</v>
      </c>
      <c r="B30" s="268" t="str">
        <f>IFERROR(INDEX(Teilnehmer[LfNr],_xlfn.AGGREGATE(15,6,ROW(Teilnehmer[LfNr])/((Teilnehmer[Geschlecht]=$G$2)*(Teilnehmer[Einzelkür]="ja")),ROW()-4)-1,1),"")</f>
        <v/>
      </c>
      <c r="C30" s="168" t="str">
        <f>IFERROR(VLOOKUP($B30,Teilnehmer[],2,FALSE),"")</f>
        <v/>
      </c>
      <c r="D30" s="169" t="str">
        <f>IFERROR(VLOOKUP($B30,Teilnehmer[],3,FALSE),"")</f>
        <v/>
      </c>
      <c r="E30" s="170" t="str">
        <f>IFERROR(VLOOKUP($B30,Teilnehmer[],5,FALSE),"")</f>
        <v/>
      </c>
      <c r="F30" s="270" t="str">
        <f>IFERROR(VLOOKUP($B30,Teilnehmer[],8,FALSE),"")</f>
        <v/>
      </c>
    </row>
    <row r="31" spans="1:6" x14ac:dyDescent="0.3">
      <c r="A31" s="164">
        <f t="shared" si="0"/>
        <v>27</v>
      </c>
      <c r="B31" s="268" t="str">
        <f>IFERROR(INDEX(Teilnehmer[LfNr],_xlfn.AGGREGATE(15,6,ROW(Teilnehmer[LfNr])/((Teilnehmer[Geschlecht]=$G$2)*(Teilnehmer[Einzelkür]="ja")),ROW()-4)-1,1),"")</f>
        <v/>
      </c>
      <c r="C31" s="168" t="str">
        <f>IFERROR(VLOOKUP($B31,Teilnehmer[],2,FALSE),"")</f>
        <v/>
      </c>
      <c r="D31" s="169" t="str">
        <f>IFERROR(VLOOKUP($B31,Teilnehmer[],3,FALSE),"")</f>
        <v/>
      </c>
      <c r="E31" s="170" t="str">
        <f>IFERROR(VLOOKUP($B31,Teilnehmer[],5,FALSE),"")</f>
        <v/>
      </c>
      <c r="F31" s="270" t="str">
        <f>IFERROR(VLOOKUP($B31,Teilnehmer[],8,FALSE),"")</f>
        <v/>
      </c>
    </row>
    <row r="32" spans="1:6" x14ac:dyDescent="0.3">
      <c r="A32" s="164">
        <f t="shared" si="0"/>
        <v>28</v>
      </c>
      <c r="B32" s="268" t="str">
        <f>IFERROR(INDEX(Teilnehmer[LfNr],_xlfn.AGGREGATE(15,6,ROW(Teilnehmer[LfNr])/((Teilnehmer[Geschlecht]=$G$2)*(Teilnehmer[Einzelkür]="ja")),ROW()-4)-1,1),"")</f>
        <v/>
      </c>
      <c r="C32" s="168" t="str">
        <f>IFERROR(VLOOKUP($B32,Teilnehmer[],2,FALSE),"")</f>
        <v/>
      </c>
      <c r="D32" s="169" t="str">
        <f>IFERROR(VLOOKUP($B32,Teilnehmer[],3,FALSE),"")</f>
        <v/>
      </c>
      <c r="E32" s="170" t="str">
        <f>IFERROR(VLOOKUP($B32,Teilnehmer[],5,FALSE),"")</f>
        <v/>
      </c>
      <c r="F32" s="270" t="str">
        <f>IFERROR(VLOOKUP($B32,Teilnehmer[],8,FALSE),"")</f>
        <v/>
      </c>
    </row>
    <row r="33" spans="1:6" x14ac:dyDescent="0.3">
      <c r="A33" s="164">
        <f t="shared" si="0"/>
        <v>29</v>
      </c>
      <c r="B33" s="268" t="str">
        <f>IFERROR(INDEX(Teilnehmer[LfNr],_xlfn.AGGREGATE(15,6,ROW(Teilnehmer[LfNr])/((Teilnehmer[Geschlecht]=$G$2)*(Teilnehmer[Einzelkür]="ja")),ROW()-4)-1,1),"")</f>
        <v/>
      </c>
      <c r="C33" s="168" t="str">
        <f>IFERROR(VLOOKUP($B33,Teilnehmer[],2,FALSE),"")</f>
        <v/>
      </c>
      <c r="D33" s="169" t="str">
        <f>IFERROR(VLOOKUP($B33,Teilnehmer[],3,FALSE),"")</f>
        <v/>
      </c>
      <c r="E33" s="170" t="str">
        <f>IFERROR(VLOOKUP($B33,Teilnehmer[],5,FALSE),"")</f>
        <v/>
      </c>
      <c r="F33" s="270" t="str">
        <f>IFERROR(VLOOKUP($B33,Teilnehmer[],8,FALSE),"")</f>
        <v/>
      </c>
    </row>
    <row r="34" spans="1:6" x14ac:dyDescent="0.3">
      <c r="A34" s="164">
        <f t="shared" si="0"/>
        <v>30</v>
      </c>
      <c r="B34" s="268" t="str">
        <f>IFERROR(INDEX(Teilnehmer[LfNr],_xlfn.AGGREGATE(15,6,ROW(Teilnehmer[LfNr])/((Teilnehmer[Geschlecht]=$G$2)*(Teilnehmer[Einzelkür]="ja")),ROW()-4)-1,1),"")</f>
        <v/>
      </c>
      <c r="C34" s="168" t="str">
        <f>IFERROR(VLOOKUP($B34,Teilnehmer[],2,FALSE),"")</f>
        <v/>
      </c>
      <c r="D34" s="169" t="str">
        <f>IFERROR(VLOOKUP($B34,Teilnehmer[],3,FALSE),"")</f>
        <v/>
      </c>
      <c r="E34" s="170" t="str">
        <f>IFERROR(VLOOKUP($B34,Teilnehmer[],5,FALSE),"")</f>
        <v/>
      </c>
      <c r="F34" s="270" t="str">
        <f>IFERROR(VLOOKUP($B34,Teilnehmer[],8,FALSE),"")</f>
        <v/>
      </c>
    </row>
    <row r="35" spans="1:6" x14ac:dyDescent="0.3">
      <c r="A35" s="164">
        <f t="shared" si="0"/>
        <v>31</v>
      </c>
      <c r="B35" s="269" t="str">
        <f>IFERROR(INDEX(Teilnehmer[LfNr],_xlfn.AGGREGATE(15,6,ROW(Teilnehmer[LfNr])/((Teilnehmer[Geschlecht]=$G$2)*(Teilnehmer[Einzelkür]="ja")),ROW()-4)-1,1),"")</f>
        <v/>
      </c>
      <c r="C35" s="165" t="str">
        <f>IFERROR(VLOOKUP($B35,Teilnehmer[],2,FALSE),"")</f>
        <v/>
      </c>
      <c r="D35" s="166" t="str">
        <f>IFERROR(VLOOKUP($B35,Teilnehmer[],3,FALSE),"")</f>
        <v/>
      </c>
      <c r="E35" s="167" t="str">
        <f>IFERROR(VLOOKUP($B35,Teilnehmer[],5,FALSE),"")</f>
        <v/>
      </c>
      <c r="F35" s="270" t="str">
        <f>IFERROR(VLOOKUP($B35,Teilnehmer[],8,FALSE),"")</f>
        <v/>
      </c>
    </row>
  </sheetData>
  <sheetProtection algorithmName="SHA-512" hashValue="s2nvdMFh+sSesDygddo9A7mLjAg4KiYa25sU8BNiGDx6I25pfUk6JTasOhoZOOsDjAlqmM5gSoztvnV+lWebbw==" saltValue="17Entrvj9GETOXwLE5zQtw==" spinCount="100000" sheet="1" selectLockedCells="1"/>
  <mergeCells count="1">
    <mergeCell ref="E2:F2"/>
  </mergeCells>
  <pageMargins left="0.7" right="0.7" top="0.78740157499999996" bottom="0.78740157499999996" header="0.3" footer="0.3"/>
  <pageSetup paperSize="9" orientation="landscape" r:id="rId1"/>
  <headerFooter>
    <oddFooter>&amp;RBlatt &amp;P von &amp;N</oddFooter>
  </headerFooter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0">
    <tabColor rgb="FFB6FF9F"/>
  </sheetPr>
  <dimension ref="A1:M44"/>
  <sheetViews>
    <sheetView showGridLines="0" showRowColHeaders="0" showRuler="0" zoomScaleNormal="100" workbookViewId="0">
      <selection activeCell="A2" sqref="A2"/>
    </sheetView>
  </sheetViews>
  <sheetFormatPr baseColWidth="10" defaultColWidth="11.44140625" defaultRowHeight="14.4" x14ac:dyDescent="0.3"/>
  <cols>
    <col min="1" max="1" width="6.6640625" style="76" customWidth="1"/>
    <col min="2" max="2" width="10.6640625" style="76" customWidth="1"/>
    <col min="3" max="3" width="28.6640625" style="76" customWidth="1"/>
    <col min="4" max="4" width="18.6640625" style="76" customWidth="1"/>
    <col min="5" max="5" width="8.6640625" style="76" customWidth="1"/>
    <col min="6" max="6" width="40.6640625" style="76" customWidth="1"/>
    <col min="7" max="7" width="0" style="76" hidden="1" customWidth="1"/>
    <col min="8" max="8" width="14" style="76" customWidth="1"/>
    <col min="9" max="16384" width="11.44140625" style="76"/>
  </cols>
  <sheetData>
    <row r="1" spans="1:13" ht="40.200000000000003" customHeight="1" x14ac:dyDescent="0.55000000000000004">
      <c r="A1" s="151" t="str">
        <f>Deckblatt!B1</f>
        <v>Süddeutsche Meisterschaft Freestyle</v>
      </c>
      <c r="C1" s="77"/>
      <c r="D1" s="77"/>
      <c r="E1" s="77"/>
      <c r="F1" s="104"/>
      <c r="G1" s="78"/>
      <c r="H1" s="78"/>
      <c r="I1" s="78"/>
      <c r="J1" s="78"/>
      <c r="K1" s="78"/>
    </row>
    <row r="2" spans="1:13" ht="19.95" customHeight="1" x14ac:dyDescent="0.4">
      <c r="A2" s="155" t="s">
        <v>45</v>
      </c>
      <c r="C2" s="79"/>
      <c r="D2" s="275">
        <f>Meldung!W1</f>
        <v>43911</v>
      </c>
      <c r="E2" s="320">
        <f>D2+1</f>
        <v>43912</v>
      </c>
      <c r="F2" s="320"/>
      <c r="G2" s="148" t="s">
        <v>0</v>
      </c>
      <c r="H2" s="80"/>
      <c r="I2" s="81"/>
      <c r="J2" s="80"/>
      <c r="K2" s="81"/>
    </row>
    <row r="3" spans="1:13" ht="15.6" x14ac:dyDescent="0.3">
      <c r="A3" s="105"/>
      <c r="B3" s="16"/>
      <c r="C3" s="16"/>
      <c r="D3" s="12"/>
      <c r="E3" s="12"/>
      <c r="F3" s="105"/>
      <c r="G3" s="91"/>
      <c r="M3" s="92"/>
    </row>
    <row r="4" spans="1:13" ht="49.95" customHeight="1" x14ac:dyDescent="0.3">
      <c r="A4" s="111" t="s">
        <v>20</v>
      </c>
      <c r="B4" s="153" t="s">
        <v>60</v>
      </c>
      <c r="C4" s="112" t="s">
        <v>3</v>
      </c>
      <c r="D4" s="112" t="s">
        <v>4</v>
      </c>
      <c r="E4" s="113" t="s">
        <v>47</v>
      </c>
      <c r="F4" s="160" t="s">
        <v>12</v>
      </c>
      <c r="G4" s="91"/>
      <c r="M4" s="92"/>
    </row>
    <row r="5" spans="1:13" ht="15.6" x14ac:dyDescent="0.3">
      <c r="A5" s="149">
        <v>1</v>
      </c>
      <c r="B5" s="266" t="str">
        <f>IFERROR(INDEX(Teilnehmer[LfNr],_xlfn.AGGREGATE(15,6,ROW(Teilnehmer[LfNr])/((Teilnehmer[Geschlecht]=$G$2)*(Teilnehmer[Einzelkür]="ja")),ROW()-4)-1,1),"")</f>
        <v/>
      </c>
      <c r="C5" s="95" t="str">
        <f>IFERROR(VLOOKUP($B5,Teilnehmer[],2,FALSE),"")</f>
        <v/>
      </c>
      <c r="D5" s="95" t="str">
        <f>IFERROR(VLOOKUP($B5,Teilnehmer[],3,FALSE),"")</f>
        <v/>
      </c>
      <c r="E5" s="106" t="str">
        <f>IFERROR(VLOOKUP($B5,Teilnehmer[],5,FALSE),"")</f>
        <v/>
      </c>
      <c r="F5" s="265" t="str">
        <f>IFERROR(VLOOKUP($B5,Teilnehmer[],8,FALSE),"")</f>
        <v/>
      </c>
      <c r="G5" s="91"/>
      <c r="M5" s="92"/>
    </row>
    <row r="6" spans="1:13" ht="15.6" x14ac:dyDescent="0.3">
      <c r="A6" s="150">
        <f>A5+1</f>
        <v>2</v>
      </c>
      <c r="B6" s="266" t="str">
        <f>IFERROR(INDEX(Teilnehmer[LfNr],_xlfn.AGGREGATE(15,6,ROW(Teilnehmer[LfNr])/((Teilnehmer[Geschlecht]=$G$2)*(Teilnehmer[Einzelkür]="ja")),ROW()-4)-1,1),"")</f>
        <v/>
      </c>
      <c r="C6" s="95" t="str">
        <f>IFERROR(VLOOKUP($B6,Teilnehmer[],2,FALSE),"")</f>
        <v/>
      </c>
      <c r="D6" s="95" t="str">
        <f>IFERROR(VLOOKUP($B6,Teilnehmer[],3,FALSE),"")</f>
        <v/>
      </c>
      <c r="E6" s="106" t="str">
        <f>IFERROR(VLOOKUP($B6,Teilnehmer[],5,FALSE),"")</f>
        <v/>
      </c>
      <c r="F6" s="265" t="str">
        <f>IFERROR(VLOOKUP($B6,Teilnehmer[],8,FALSE),"")</f>
        <v/>
      </c>
      <c r="G6" s="91"/>
      <c r="M6" s="92"/>
    </row>
    <row r="7" spans="1:13" ht="15.6" x14ac:dyDescent="0.3">
      <c r="A7" s="150">
        <f t="shared" ref="A7:A14" si="0">A6+1</f>
        <v>3</v>
      </c>
      <c r="B7" s="266" t="str">
        <f>IFERROR(INDEX(Teilnehmer[LfNr],_xlfn.AGGREGATE(15,6,ROW(Teilnehmer[LfNr])/((Teilnehmer[Geschlecht]=$G$2)*(Teilnehmer[Einzelkür]="ja")),ROW()-4)-1,1),"")</f>
        <v/>
      </c>
      <c r="C7" s="95" t="str">
        <f>IFERROR(VLOOKUP($B7,Teilnehmer[],2,FALSE),"")</f>
        <v/>
      </c>
      <c r="D7" s="95" t="str">
        <f>IFERROR(VLOOKUP($B7,Teilnehmer[],3,FALSE),"")</f>
        <v/>
      </c>
      <c r="E7" s="106" t="str">
        <f>IFERROR(VLOOKUP($B7,Teilnehmer[],5,FALSE),"")</f>
        <v/>
      </c>
      <c r="F7" s="265" t="str">
        <f>IFERROR(VLOOKUP($B7,Teilnehmer[],8,FALSE),"")</f>
        <v/>
      </c>
      <c r="G7" s="91"/>
      <c r="M7" s="92"/>
    </row>
    <row r="8" spans="1:13" ht="15.6" x14ac:dyDescent="0.3">
      <c r="A8" s="150">
        <f t="shared" si="0"/>
        <v>4</v>
      </c>
      <c r="B8" s="266" t="str">
        <f>IFERROR(INDEX(Teilnehmer[LfNr],_xlfn.AGGREGATE(15,6,ROW(Teilnehmer[LfNr])/((Teilnehmer[Geschlecht]=$G$2)*(Teilnehmer[Einzelkür]="ja")),ROW()-4)-1,1),"")</f>
        <v/>
      </c>
      <c r="C8" s="95" t="str">
        <f>IFERROR(VLOOKUP($B8,Teilnehmer[],2,FALSE),"")</f>
        <v/>
      </c>
      <c r="D8" s="95" t="str">
        <f>IFERROR(VLOOKUP($B8,Teilnehmer[],3,FALSE),"")</f>
        <v/>
      </c>
      <c r="E8" s="106" t="str">
        <f>IFERROR(VLOOKUP($B8,Teilnehmer[],5,FALSE),"")</f>
        <v/>
      </c>
      <c r="F8" s="265" t="str">
        <f>IFERROR(VLOOKUP($B8,Teilnehmer[],8,FALSE),"")</f>
        <v/>
      </c>
      <c r="G8" s="91"/>
      <c r="M8" s="92"/>
    </row>
    <row r="9" spans="1:13" ht="15.6" x14ac:dyDescent="0.3">
      <c r="A9" s="150">
        <f t="shared" si="0"/>
        <v>5</v>
      </c>
      <c r="B9" s="266" t="str">
        <f>IFERROR(INDEX(Teilnehmer[LfNr],_xlfn.AGGREGATE(15,6,ROW(Teilnehmer[LfNr])/((Teilnehmer[Geschlecht]=$G$2)*(Teilnehmer[Einzelkür]="ja")),ROW()-4)-1,1),"")</f>
        <v/>
      </c>
      <c r="C9" s="95" t="str">
        <f>IFERROR(VLOOKUP($B9,Teilnehmer[],2,FALSE),"")</f>
        <v/>
      </c>
      <c r="D9" s="95" t="str">
        <f>IFERROR(VLOOKUP($B9,Teilnehmer[],3,FALSE),"")</f>
        <v/>
      </c>
      <c r="E9" s="106" t="str">
        <f>IFERROR(VLOOKUP($B9,Teilnehmer[],5,FALSE),"")</f>
        <v/>
      </c>
      <c r="F9" s="265" t="str">
        <f>IFERROR(VLOOKUP($B9,Teilnehmer[],8,FALSE),"")</f>
        <v/>
      </c>
      <c r="G9" s="91"/>
      <c r="M9" s="92"/>
    </row>
    <row r="10" spans="1:13" ht="15.6" x14ac:dyDescent="0.3">
      <c r="A10" s="150">
        <f t="shared" si="0"/>
        <v>6</v>
      </c>
      <c r="B10" s="266" t="str">
        <f>IFERROR(INDEX(Teilnehmer[LfNr],_xlfn.AGGREGATE(15,6,ROW(Teilnehmer[LfNr])/((Teilnehmer[Geschlecht]=$G$2)*(Teilnehmer[Einzelkür]="ja")),ROW()-4)-1,1),"")</f>
        <v/>
      </c>
      <c r="C10" s="95" t="str">
        <f>IFERROR(VLOOKUP($B10,Teilnehmer[],2,FALSE),"")</f>
        <v/>
      </c>
      <c r="D10" s="95" t="str">
        <f>IFERROR(VLOOKUP($B10,Teilnehmer[],3,FALSE),"")</f>
        <v/>
      </c>
      <c r="E10" s="106" t="str">
        <f>IFERROR(VLOOKUP($B10,Teilnehmer[],5,FALSE),"")</f>
        <v/>
      </c>
      <c r="F10" s="265" t="str">
        <f>IFERROR(VLOOKUP($B10,Teilnehmer[],8,FALSE),"")</f>
        <v/>
      </c>
      <c r="G10" s="91"/>
      <c r="M10" s="92"/>
    </row>
    <row r="11" spans="1:13" ht="15.6" x14ac:dyDescent="0.3">
      <c r="A11" s="150">
        <f t="shared" si="0"/>
        <v>7</v>
      </c>
      <c r="B11" s="266" t="str">
        <f>IFERROR(INDEX(Teilnehmer[LfNr],_xlfn.AGGREGATE(15,6,ROW(Teilnehmer[LfNr])/((Teilnehmer[Geschlecht]=$G$2)*(Teilnehmer[Einzelkür]="ja")),ROW()-4)-1,1),"")</f>
        <v/>
      </c>
      <c r="C11" s="95" t="str">
        <f>IFERROR(VLOOKUP($B11,Teilnehmer[],2,FALSE),"")</f>
        <v/>
      </c>
      <c r="D11" s="95" t="str">
        <f>IFERROR(VLOOKUP($B11,Teilnehmer[],3,FALSE),"")</f>
        <v/>
      </c>
      <c r="E11" s="106" t="str">
        <f>IFERROR(VLOOKUP($B11,Teilnehmer[],5,FALSE),"")</f>
        <v/>
      </c>
      <c r="F11" s="265" t="str">
        <f>IFERROR(VLOOKUP($B11,Teilnehmer[],8,FALSE),"")</f>
        <v/>
      </c>
      <c r="G11" s="91"/>
      <c r="M11" s="92"/>
    </row>
    <row r="12" spans="1:13" ht="15.6" x14ac:dyDescent="0.3">
      <c r="A12" s="150">
        <f t="shared" si="0"/>
        <v>8</v>
      </c>
      <c r="B12" s="266" t="str">
        <f>IFERROR(INDEX(Teilnehmer[LfNr],_xlfn.AGGREGATE(15,6,ROW(Teilnehmer[LfNr])/((Teilnehmer[Geschlecht]=$G$2)*(Teilnehmer[Einzelkür]="ja")),ROW()-4)-1,1),"")</f>
        <v/>
      </c>
      <c r="C12" s="95" t="str">
        <f>IFERROR(VLOOKUP($B12,Teilnehmer[],2,FALSE),"")</f>
        <v/>
      </c>
      <c r="D12" s="95" t="str">
        <f>IFERROR(VLOOKUP($B12,Teilnehmer[],3,FALSE),"")</f>
        <v/>
      </c>
      <c r="E12" s="106" t="str">
        <f>IFERROR(VLOOKUP($B12,Teilnehmer[],5,FALSE),"")</f>
        <v/>
      </c>
      <c r="F12" s="265" t="str">
        <f>IFERROR(VLOOKUP($B12,Teilnehmer[],8,FALSE),"")</f>
        <v/>
      </c>
      <c r="G12" s="91"/>
      <c r="M12" s="92"/>
    </row>
    <row r="13" spans="1:13" ht="15.6" x14ac:dyDescent="0.3">
      <c r="A13" s="150">
        <f t="shared" si="0"/>
        <v>9</v>
      </c>
      <c r="B13" s="266" t="str">
        <f>IFERROR(INDEX(Teilnehmer[LfNr],_xlfn.AGGREGATE(15,6,ROW(Teilnehmer[LfNr])/((Teilnehmer[Geschlecht]=$G$2)*(Teilnehmer[Einzelkür]="ja")),ROW()-4)-1,1),"")</f>
        <v/>
      </c>
      <c r="C13" s="95" t="str">
        <f>IFERROR(VLOOKUP($B13,Teilnehmer[],2,FALSE),"")</f>
        <v/>
      </c>
      <c r="D13" s="95" t="str">
        <f>IFERROR(VLOOKUP($B13,Teilnehmer[],3,FALSE),"")</f>
        <v/>
      </c>
      <c r="E13" s="106" t="str">
        <f>IFERROR(VLOOKUP($B13,Teilnehmer[],5,FALSE),"")</f>
        <v/>
      </c>
      <c r="F13" s="265" t="str">
        <f>IFERROR(VLOOKUP($B13,Teilnehmer[],8,FALSE),"")</f>
        <v/>
      </c>
      <c r="G13" s="91"/>
      <c r="M13" s="92"/>
    </row>
    <row r="14" spans="1:13" ht="15.6" x14ac:dyDescent="0.3">
      <c r="A14" s="150">
        <f t="shared" si="0"/>
        <v>10</v>
      </c>
      <c r="B14" s="266" t="str">
        <f>IFERROR(INDEX(Teilnehmer[LfNr],_xlfn.AGGREGATE(15,6,ROW(Teilnehmer[LfNr])/((Teilnehmer[Geschlecht]=$G$2)*(Teilnehmer[Einzelkür]="ja")),ROW()-4)-1,1),"")</f>
        <v/>
      </c>
      <c r="C14" s="95" t="str">
        <f>IFERROR(VLOOKUP($B14,Teilnehmer[],2,FALSE),"")</f>
        <v/>
      </c>
      <c r="D14" s="95" t="str">
        <f>IFERROR(VLOOKUP($B14,Teilnehmer[],3,FALSE),"")</f>
        <v/>
      </c>
      <c r="E14" s="106" t="str">
        <f>IFERROR(VLOOKUP($B14,Teilnehmer[],5,FALSE),"")</f>
        <v/>
      </c>
      <c r="F14" s="265" t="str">
        <f>IFERROR(VLOOKUP($B14,Teilnehmer[],8,FALSE),"")</f>
        <v/>
      </c>
      <c r="G14" s="91"/>
      <c r="M14" s="92"/>
    </row>
    <row r="19" spans="1:6" ht="15.6" x14ac:dyDescent="0.3">
      <c r="A19" s="101"/>
      <c r="B19" s="321"/>
      <c r="C19" s="321"/>
      <c r="D19" s="12"/>
      <c r="E19" s="12"/>
      <c r="F19" s="102"/>
    </row>
    <row r="20" spans="1:6" ht="15.6" x14ac:dyDescent="0.3">
      <c r="A20" s="101"/>
      <c r="B20" s="116"/>
      <c r="C20" s="13"/>
      <c r="D20" s="13"/>
      <c r="E20" s="13"/>
      <c r="F20" s="102"/>
    </row>
    <row r="21" spans="1:6" ht="15.6" x14ac:dyDescent="0.3">
      <c r="A21" s="101"/>
      <c r="B21" s="116"/>
      <c r="C21" s="12"/>
      <c r="D21" s="12"/>
      <c r="E21" s="103"/>
      <c r="F21" s="102"/>
    </row>
    <row r="22" spans="1:6" ht="15.6" x14ac:dyDescent="0.3">
      <c r="A22" s="101"/>
      <c r="B22" s="116"/>
      <c r="C22" s="322"/>
      <c r="D22" s="322"/>
      <c r="E22" s="116"/>
      <c r="F22" s="102"/>
    </row>
    <row r="23" spans="1:6" ht="15.6" x14ac:dyDescent="0.3">
      <c r="A23" s="101"/>
      <c r="B23" s="12"/>
      <c r="C23" s="12"/>
      <c r="D23" s="12"/>
      <c r="E23" s="12"/>
      <c r="F23" s="102"/>
    </row>
    <row r="24" spans="1:6" ht="15.6" x14ac:dyDescent="0.3">
      <c r="A24" s="101"/>
      <c r="B24" s="321"/>
      <c r="C24" s="321"/>
      <c r="D24" s="12"/>
      <c r="E24" s="12"/>
      <c r="F24" s="102"/>
    </row>
    <row r="25" spans="1:6" ht="15.6" x14ac:dyDescent="0.3">
      <c r="A25" s="101"/>
      <c r="B25" s="116"/>
      <c r="C25" s="13"/>
      <c r="D25" s="13"/>
      <c r="E25" s="13"/>
      <c r="F25" s="102"/>
    </row>
    <row r="26" spans="1:6" ht="15.6" x14ac:dyDescent="0.3">
      <c r="A26" s="101"/>
      <c r="B26" s="116"/>
      <c r="C26" s="12"/>
      <c r="D26" s="12"/>
      <c r="E26" s="103"/>
      <c r="F26" s="102"/>
    </row>
    <row r="27" spans="1:6" ht="15.6" x14ac:dyDescent="0.3">
      <c r="A27" s="101"/>
      <c r="B27" s="116"/>
      <c r="C27" s="322"/>
      <c r="D27" s="322"/>
      <c r="E27" s="116"/>
      <c r="F27" s="102"/>
    </row>
    <row r="28" spans="1:6" ht="15.6" x14ac:dyDescent="0.3">
      <c r="A28" s="101"/>
      <c r="B28" s="12"/>
      <c r="C28" s="12"/>
      <c r="D28" s="12"/>
      <c r="E28" s="12"/>
      <c r="F28" s="102"/>
    </row>
    <row r="29" spans="1:6" ht="15.6" x14ac:dyDescent="0.3">
      <c r="A29" s="101"/>
      <c r="B29" s="321"/>
      <c r="C29" s="321"/>
      <c r="D29" s="12"/>
      <c r="E29" s="12"/>
      <c r="F29" s="102"/>
    </row>
    <row r="30" spans="1:6" ht="15.6" x14ac:dyDescent="0.3">
      <c r="A30" s="101"/>
      <c r="B30" s="116"/>
      <c r="C30" s="13"/>
      <c r="D30" s="13"/>
      <c r="E30" s="13"/>
      <c r="F30" s="102"/>
    </row>
    <row r="31" spans="1:6" ht="15.6" x14ac:dyDescent="0.3">
      <c r="A31" s="101"/>
      <c r="B31" s="116"/>
      <c r="C31" s="12"/>
      <c r="D31" s="12"/>
      <c r="E31" s="103"/>
      <c r="F31" s="102"/>
    </row>
    <row r="32" spans="1:6" ht="15.6" x14ac:dyDescent="0.3">
      <c r="A32" s="101"/>
      <c r="B32" s="116"/>
      <c r="C32" s="322"/>
      <c r="D32" s="322"/>
      <c r="E32" s="116"/>
      <c r="F32" s="102"/>
    </row>
    <row r="33" spans="1:6" ht="15.6" x14ac:dyDescent="0.3">
      <c r="A33" s="101"/>
      <c r="B33" s="12"/>
      <c r="C33" s="12"/>
      <c r="D33" s="12"/>
      <c r="E33" s="12"/>
      <c r="F33" s="102"/>
    </row>
    <row r="34" spans="1:6" ht="15.6" x14ac:dyDescent="0.3">
      <c r="A34" s="101"/>
      <c r="B34" s="321"/>
      <c r="C34" s="321"/>
      <c r="D34" s="12"/>
      <c r="E34" s="12"/>
      <c r="F34" s="102"/>
    </row>
    <row r="35" spans="1:6" ht="15.6" x14ac:dyDescent="0.3">
      <c r="A35" s="101"/>
      <c r="B35" s="116"/>
      <c r="C35" s="13"/>
      <c r="D35" s="13"/>
      <c r="E35" s="13"/>
      <c r="F35" s="102"/>
    </row>
    <row r="36" spans="1:6" ht="15.6" x14ac:dyDescent="0.3">
      <c r="A36" s="101"/>
      <c r="B36" s="116"/>
      <c r="C36" s="12"/>
      <c r="D36" s="12"/>
      <c r="E36" s="103"/>
      <c r="F36" s="102"/>
    </row>
    <row r="37" spans="1:6" ht="15.6" x14ac:dyDescent="0.3">
      <c r="A37" s="101"/>
      <c r="B37" s="116"/>
      <c r="C37" s="322"/>
      <c r="D37" s="322"/>
      <c r="E37" s="116"/>
      <c r="F37" s="102"/>
    </row>
    <row r="38" spans="1:6" ht="15.6" x14ac:dyDescent="0.3">
      <c r="A38" s="101"/>
      <c r="B38" s="12"/>
      <c r="C38" s="12"/>
      <c r="D38" s="12"/>
      <c r="E38" s="12"/>
      <c r="F38" s="102"/>
    </row>
    <row r="39" spans="1:6" ht="15.6" x14ac:dyDescent="0.3">
      <c r="A39" s="101"/>
      <c r="B39" s="321"/>
      <c r="C39" s="321"/>
      <c r="D39" s="12"/>
      <c r="E39" s="12"/>
      <c r="F39" s="102"/>
    </row>
    <row r="40" spans="1:6" ht="15.6" x14ac:dyDescent="0.3">
      <c r="A40" s="101"/>
      <c r="B40" s="116"/>
      <c r="C40" s="13"/>
      <c r="D40" s="13"/>
      <c r="E40" s="13"/>
      <c r="F40" s="102"/>
    </row>
    <row r="41" spans="1:6" ht="15.6" x14ac:dyDescent="0.3">
      <c r="A41" s="101"/>
      <c r="B41" s="116"/>
      <c r="C41" s="12"/>
      <c r="D41" s="12"/>
      <c r="E41" s="103"/>
      <c r="F41" s="102"/>
    </row>
    <row r="42" spans="1:6" ht="15.6" x14ac:dyDescent="0.3">
      <c r="A42" s="101"/>
      <c r="B42" s="116"/>
      <c r="C42" s="322"/>
      <c r="D42" s="322"/>
      <c r="E42" s="116"/>
      <c r="F42" s="102"/>
    </row>
    <row r="43" spans="1:6" ht="15.6" x14ac:dyDescent="0.3">
      <c r="A43" s="101"/>
      <c r="B43" s="102"/>
      <c r="C43" s="102"/>
      <c r="D43" s="102"/>
      <c r="E43" s="102"/>
      <c r="F43" s="102"/>
    </row>
    <row r="44" spans="1:6" x14ac:dyDescent="0.3">
      <c r="A44" s="101"/>
      <c r="B44" s="101"/>
      <c r="C44" s="101"/>
      <c r="D44" s="101"/>
      <c r="E44" s="101"/>
      <c r="F44" s="101"/>
    </row>
  </sheetData>
  <sheetProtection algorithmName="SHA-512" hashValue="XLbusvIIfFOsRWcB7orxXNqtab5VqlAqB7oZYgvlA4AQ69OQBrqrKiKlK7hg5SPbXi4pHIZimry/N/LDRHAyLg==" saltValue="SIFNLvarrA1cep7b2Sb1WA==" spinCount="100000" sheet="1" selectLockedCells="1"/>
  <mergeCells count="11">
    <mergeCell ref="E2:F2"/>
    <mergeCell ref="B34:C34"/>
    <mergeCell ref="C37:D37"/>
    <mergeCell ref="B39:C39"/>
    <mergeCell ref="C42:D42"/>
    <mergeCell ref="B19:C19"/>
    <mergeCell ref="C22:D22"/>
    <mergeCell ref="B24:C24"/>
    <mergeCell ref="C27:D27"/>
    <mergeCell ref="B29:C29"/>
    <mergeCell ref="C32:D32"/>
  </mergeCells>
  <pageMargins left="0.7" right="0.7" top="0.78740157499999996" bottom="0.78740157499999996" header="0.3" footer="0.3"/>
  <pageSetup paperSize="9" orientation="landscape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4">
    <tabColor theme="6" tint="0.39997558519241921"/>
  </sheetPr>
  <dimension ref="A1:O46"/>
  <sheetViews>
    <sheetView showGridLines="0" showRowColHeaders="0" showRuler="0" zoomScaleNormal="100" workbookViewId="0">
      <selection activeCell="A2" sqref="A2"/>
    </sheetView>
  </sheetViews>
  <sheetFormatPr baseColWidth="10" defaultColWidth="11.44140625" defaultRowHeight="14.4" x14ac:dyDescent="0.3"/>
  <cols>
    <col min="1" max="1" width="5.6640625" customWidth="1"/>
    <col min="2" max="2" width="5.6640625" style="118" customWidth="1"/>
    <col min="3" max="3" width="10.6640625" style="36" customWidth="1"/>
    <col min="4" max="4" width="28.6640625" customWidth="1"/>
    <col min="5" max="5" width="18.6640625" customWidth="1"/>
    <col min="6" max="6" width="8.6640625" customWidth="1"/>
    <col min="7" max="7" width="30.6640625" style="34" customWidth="1"/>
    <col min="8" max="8" width="5.6640625" style="35" customWidth="1"/>
  </cols>
  <sheetData>
    <row r="1" spans="1:15" s="8" customFormat="1" ht="40.200000000000003" customHeight="1" x14ac:dyDescent="0.55000000000000004">
      <c r="A1" s="152" t="str">
        <f>Deckblatt!B1</f>
        <v>Süddeutsche Meisterschaft Freestyle</v>
      </c>
      <c r="B1" s="120"/>
      <c r="D1" s="17"/>
      <c r="E1" s="17"/>
      <c r="G1" s="17"/>
      <c r="H1" s="18"/>
      <c r="I1" s="9"/>
      <c r="J1" s="9"/>
      <c r="K1" s="9"/>
      <c r="L1" s="9"/>
      <c r="M1" s="9"/>
    </row>
    <row r="2" spans="1:15" s="8" customFormat="1" ht="19.95" customHeight="1" x14ac:dyDescent="0.35">
      <c r="A2" s="154" t="s">
        <v>13</v>
      </c>
      <c r="D2" s="276">
        <f>Meldung!W1</f>
        <v>43911</v>
      </c>
      <c r="E2" s="156">
        <f>D2+1</f>
        <v>43912</v>
      </c>
      <c r="F2" s="14"/>
      <c r="G2" s="14"/>
      <c r="H2" s="14"/>
      <c r="I2" s="62"/>
      <c r="J2" s="62"/>
      <c r="K2" s="10"/>
      <c r="L2" s="7"/>
      <c r="M2" s="10"/>
    </row>
    <row r="3" spans="1:15" s="8" customFormat="1" ht="15" customHeight="1" x14ac:dyDescent="0.3">
      <c r="B3" s="121"/>
      <c r="C3" s="109"/>
      <c r="D3" s="109"/>
      <c r="E3" s="12"/>
      <c r="F3" s="12"/>
      <c r="G3" s="12"/>
      <c r="H3" s="15"/>
      <c r="I3" s="11"/>
      <c r="O3" s="1"/>
    </row>
    <row r="4" spans="1:15" ht="40.200000000000003" customHeight="1" x14ac:dyDescent="0.3">
      <c r="A4" s="293" t="s">
        <v>20</v>
      </c>
      <c r="B4" s="122"/>
      <c r="C4" s="294" t="s">
        <v>60</v>
      </c>
      <c r="D4" s="290" t="s">
        <v>3</v>
      </c>
      <c r="E4" s="291" t="s">
        <v>4</v>
      </c>
      <c r="F4" s="291" t="s">
        <v>47</v>
      </c>
      <c r="G4" s="292" t="s">
        <v>12</v>
      </c>
    </row>
    <row r="5" spans="1:15" s="19" customFormat="1" ht="16.5" customHeight="1" x14ac:dyDescent="0.3">
      <c r="A5" s="130">
        <v>1</v>
      </c>
      <c r="B5" s="131">
        <v>1</v>
      </c>
      <c r="C5" s="132" t="str">
        <f>IFERROR(INDEX(Teilnehmer[LfNr],_xlfn.AGGREGATE(15,6,ROW(Teilnehmer[LfNr])/((Teilnehmer[Paarkür]=A5)),ROW()-4)-1,1),"")</f>
        <v/>
      </c>
      <c r="D5" s="132" t="str">
        <f>IFERROR(VLOOKUP(C5,Teilnehmer[],2,FALSE),"")</f>
        <v/>
      </c>
      <c r="E5" s="132" t="str">
        <f>IFERROR(VLOOKUP(C5,Teilnehmer[],3,FALSE),"")</f>
        <v/>
      </c>
      <c r="F5" s="143" t="str">
        <f>IFERROR(VLOOKUP(C5,Teilnehmer[],5,FALSE),"")</f>
        <v/>
      </c>
      <c r="G5" s="133" t="str">
        <f>IFERROR(VLOOKUP(C5,Teilnehmer[],10,FALSE),"")</f>
        <v/>
      </c>
      <c r="H5" s="119">
        <v>2</v>
      </c>
    </row>
    <row r="6" spans="1:15" s="19" customFormat="1" ht="16.5" customHeight="1" thickBot="1" x14ac:dyDescent="0.35">
      <c r="A6" s="134"/>
      <c r="B6" s="135">
        <v>2</v>
      </c>
      <c r="C6" s="136" t="str">
        <f>IFERROR(INDEX(Teilnehmer[LfNr],_xlfn.AGGREGATE(15,6,ROW(Teilnehmer[LfNr])/((Teilnehmer[Paarkür]=A5)),ROW()-4)-1,1),"")</f>
        <v/>
      </c>
      <c r="D6" s="136" t="str">
        <f>IFERROR(VLOOKUP(C6,Teilnehmer[],2,FALSE),"")</f>
        <v/>
      </c>
      <c r="E6" s="136" t="str">
        <f>IFERROR(VLOOKUP(C6,Teilnehmer[],3,FALSE),"")</f>
        <v/>
      </c>
      <c r="F6" s="144" t="str">
        <f>IFERROR(VLOOKUP(C6,Teilnehmer[],5,FALSE),"")</f>
        <v/>
      </c>
      <c r="G6" s="299" t="str">
        <f>IFERROR(VLOOKUP(C6,Teilnehmer[],10,FALSE),"")</f>
        <v/>
      </c>
      <c r="H6" s="119"/>
    </row>
    <row r="7" spans="1:15" s="19" customFormat="1" ht="16.5" customHeight="1" x14ac:dyDescent="0.3">
      <c r="A7" s="123">
        <v>2</v>
      </c>
      <c r="B7" s="124">
        <v>1</v>
      </c>
      <c r="C7" s="125" t="str">
        <f>IFERROR(INDEX(Teilnehmer[LfNr],_xlfn.AGGREGATE(15,6,ROW(Teilnehmer[LfNr])/((Teilnehmer[Paarkür]=A7)),ROW()-6)-1,1),"")</f>
        <v/>
      </c>
      <c r="D7" s="125" t="str">
        <f>IFERROR(VLOOKUP(C7,Teilnehmer[],2,FALSE),"")</f>
        <v/>
      </c>
      <c r="E7" s="125" t="str">
        <f>IFERROR(VLOOKUP(C7,Teilnehmer[],3,FALSE),"")</f>
        <v/>
      </c>
      <c r="F7" s="145" t="str">
        <f>IFERROR(VLOOKUP(C7,Teilnehmer[],5,FALSE),"")</f>
        <v/>
      </c>
      <c r="G7" s="126" t="str">
        <f>IFERROR(VLOOKUP(C7,Teilnehmer[],10,FALSE),"")</f>
        <v/>
      </c>
      <c r="H7" s="119">
        <v>2</v>
      </c>
    </row>
    <row r="8" spans="1:15" s="19" customFormat="1" ht="16.5" customHeight="1" thickBot="1" x14ac:dyDescent="0.35">
      <c r="A8" s="127"/>
      <c r="B8" s="128">
        <v>2</v>
      </c>
      <c r="C8" s="129" t="str">
        <f>IFERROR(INDEX(Teilnehmer[LfNr],_xlfn.AGGREGATE(15,6,ROW(Teilnehmer[LfNr])/((Teilnehmer[Paarkür]=A7)),ROW()-6)-1,1),"")</f>
        <v/>
      </c>
      <c r="D8" s="129" t="str">
        <f>IFERROR(VLOOKUP(C8,Teilnehmer[],2,FALSE),"")</f>
        <v/>
      </c>
      <c r="E8" s="129" t="str">
        <f>IFERROR(VLOOKUP(C8,Teilnehmer[],3,FALSE),"")</f>
        <v/>
      </c>
      <c r="F8" s="146" t="str">
        <f>IFERROR(VLOOKUP(C8,Teilnehmer[],5,FALSE),"")</f>
        <v/>
      </c>
      <c r="G8" s="300" t="str">
        <f>IFERROR(VLOOKUP(C8,Teilnehmer[],10,FALSE),"")</f>
        <v/>
      </c>
      <c r="H8" s="119"/>
    </row>
    <row r="9" spans="1:15" s="19" customFormat="1" ht="16.5" customHeight="1" x14ac:dyDescent="0.3">
      <c r="A9" s="138">
        <v>3</v>
      </c>
      <c r="B9" s="139">
        <v>1</v>
      </c>
      <c r="C9" s="140" t="str">
        <f>IFERROR(INDEX(Teilnehmer[LfNr],_xlfn.AGGREGATE(15,6,ROW(Teilnehmer[LfNr])/((Teilnehmer[Paarkür]=A9)),ROW()-8)-1,1),"")</f>
        <v/>
      </c>
      <c r="D9" s="140" t="str">
        <f>IFERROR(VLOOKUP(C9,Teilnehmer[],2,FALSE),"")</f>
        <v/>
      </c>
      <c r="E9" s="140" t="str">
        <f>IFERROR(VLOOKUP(C9,Teilnehmer[],3,FALSE),"")</f>
        <v/>
      </c>
      <c r="F9" s="147" t="str">
        <f>IFERROR(VLOOKUP(C9,Teilnehmer[],5,FALSE),"")</f>
        <v/>
      </c>
      <c r="G9" s="133" t="str">
        <f>IFERROR(VLOOKUP(C9,Teilnehmer[],10,FALSE),"")</f>
        <v/>
      </c>
      <c r="H9" s="119">
        <v>2</v>
      </c>
    </row>
    <row r="10" spans="1:15" s="19" customFormat="1" ht="16.5" customHeight="1" thickBot="1" x14ac:dyDescent="0.35">
      <c r="A10" s="134"/>
      <c r="B10" s="135">
        <v>2</v>
      </c>
      <c r="C10" s="136" t="str">
        <f>IFERROR(INDEX(Teilnehmer[LfNr],_xlfn.AGGREGATE(15,6,ROW(Teilnehmer[LfNr])/((Teilnehmer[Paarkür]=A9)),ROW()-8)-1,1),"")</f>
        <v/>
      </c>
      <c r="D10" s="136" t="str">
        <f>IFERROR(VLOOKUP(C10,Teilnehmer[],2,FALSE),"")</f>
        <v/>
      </c>
      <c r="E10" s="136" t="str">
        <f>IFERROR(VLOOKUP(C10,Teilnehmer[],3,FALSE),"")</f>
        <v/>
      </c>
      <c r="F10" s="144" t="str">
        <f>IFERROR(VLOOKUP(C10,Teilnehmer[],5,FALSE),"")</f>
        <v/>
      </c>
      <c r="G10" s="299" t="str">
        <f>IFERROR(VLOOKUP(C10,Teilnehmer[],10,FALSE),"")</f>
        <v/>
      </c>
      <c r="H10" s="119"/>
    </row>
    <row r="11" spans="1:15" s="19" customFormat="1" ht="16.5" customHeight="1" x14ac:dyDescent="0.3">
      <c r="A11" s="123">
        <v>4</v>
      </c>
      <c r="B11" s="124">
        <v>1</v>
      </c>
      <c r="C11" s="125" t="str">
        <f>IFERROR(INDEX(Teilnehmer[LfNr],_xlfn.AGGREGATE(15,6,ROW(Teilnehmer[LfNr])/((Teilnehmer[Paarkür]=A11)),ROW()-10)-1,1),"")</f>
        <v/>
      </c>
      <c r="D11" s="125" t="str">
        <f>IFERROR(VLOOKUP(C11,Teilnehmer[],2,FALSE),"")</f>
        <v/>
      </c>
      <c r="E11" s="125" t="str">
        <f>IFERROR(VLOOKUP(C11,Teilnehmer[],3,FALSE),"")</f>
        <v/>
      </c>
      <c r="F11" s="145" t="str">
        <f>IFERROR(VLOOKUP(C11,Teilnehmer[],5,FALSE),"")</f>
        <v/>
      </c>
      <c r="G11" s="126" t="str">
        <f>IFERROR(VLOOKUP(C11,Teilnehmer[],10,FALSE),"")</f>
        <v/>
      </c>
      <c r="H11" s="119">
        <v>2</v>
      </c>
    </row>
    <row r="12" spans="1:15" s="19" customFormat="1" ht="16.5" customHeight="1" thickBot="1" x14ac:dyDescent="0.35">
      <c r="A12" s="127"/>
      <c r="B12" s="128">
        <v>2</v>
      </c>
      <c r="C12" s="129" t="str">
        <f>IFERROR(INDEX(Teilnehmer[LfNr],_xlfn.AGGREGATE(15,6,ROW(Teilnehmer[LfNr])/((Teilnehmer[Paarkür]=A11)),ROW()-10)-1,1),"")</f>
        <v/>
      </c>
      <c r="D12" s="129" t="str">
        <f>IFERROR(VLOOKUP(C12,Teilnehmer[],2,FALSE),"")</f>
        <v/>
      </c>
      <c r="E12" s="129" t="str">
        <f>IFERROR(VLOOKUP(C12,Teilnehmer[],3,FALSE),"")</f>
        <v/>
      </c>
      <c r="F12" s="146" t="str">
        <f>IFERROR(VLOOKUP(C12,Teilnehmer[],5,FALSE),"")</f>
        <v/>
      </c>
      <c r="G12" s="300" t="str">
        <f>IFERROR(VLOOKUP(C12,Teilnehmer[],10,FALSE),"")</f>
        <v/>
      </c>
      <c r="H12" s="119"/>
    </row>
    <row r="13" spans="1:15" s="19" customFormat="1" ht="16.5" customHeight="1" x14ac:dyDescent="0.3">
      <c r="A13" s="138">
        <v>5</v>
      </c>
      <c r="B13" s="139">
        <v>1</v>
      </c>
      <c r="C13" s="140" t="str">
        <f>IFERROR(INDEX(Teilnehmer[LfNr],_xlfn.AGGREGATE(15,6,ROW(Teilnehmer[LfNr])/((Teilnehmer[Paarkür]=A13)),ROW()-12)-1,1),"")</f>
        <v/>
      </c>
      <c r="D13" s="140" t="str">
        <f>IFERROR(VLOOKUP(C13,Teilnehmer[],2,FALSE),"")</f>
        <v/>
      </c>
      <c r="E13" s="140" t="str">
        <f>IFERROR(VLOOKUP(C13,Teilnehmer[],3,FALSE),"")</f>
        <v/>
      </c>
      <c r="F13" s="147" t="str">
        <f>IFERROR(VLOOKUP(C13,Teilnehmer[],5,FALSE),"")</f>
        <v/>
      </c>
      <c r="G13" s="133" t="str">
        <f>IFERROR(VLOOKUP(C13,Teilnehmer[],10,FALSE),"")</f>
        <v/>
      </c>
      <c r="H13" s="119">
        <v>2</v>
      </c>
    </row>
    <row r="14" spans="1:15" s="19" customFormat="1" ht="16.5" customHeight="1" thickBot="1" x14ac:dyDescent="0.35">
      <c r="A14" s="134"/>
      <c r="B14" s="135">
        <v>2</v>
      </c>
      <c r="C14" s="136" t="str">
        <f>IFERROR(INDEX(Teilnehmer[LfNr],_xlfn.AGGREGATE(15,6,ROW(Teilnehmer[LfNr])/((Teilnehmer[Paarkür]=A13)),ROW()-12)-1,1),"")</f>
        <v/>
      </c>
      <c r="D14" s="136" t="str">
        <f>IFERROR(VLOOKUP(C14,Teilnehmer[],2,FALSE),"")</f>
        <v/>
      </c>
      <c r="E14" s="136" t="str">
        <f>IFERROR(VLOOKUP(C14,Teilnehmer[],3,FALSE),"")</f>
        <v/>
      </c>
      <c r="F14" s="144" t="str">
        <f>IFERROR(VLOOKUP(C14,Teilnehmer[],5,FALSE),"")</f>
        <v/>
      </c>
      <c r="G14" s="299" t="str">
        <f>IFERROR(VLOOKUP(C14,Teilnehmer[],10,FALSE),"")</f>
        <v/>
      </c>
      <c r="H14" s="119"/>
    </row>
    <row r="15" spans="1:15" s="19" customFormat="1" ht="16.5" customHeight="1" x14ac:dyDescent="0.3">
      <c r="A15" s="123">
        <v>6</v>
      </c>
      <c r="B15" s="124">
        <v>1</v>
      </c>
      <c r="C15" s="125" t="str">
        <f>IFERROR(INDEX(Teilnehmer[LfNr],_xlfn.AGGREGATE(15,6,ROW(Teilnehmer[LfNr])/((Teilnehmer[Paarkür]=A15)),ROW()-14)-1,1),"")</f>
        <v/>
      </c>
      <c r="D15" s="125" t="str">
        <f>IFERROR(VLOOKUP(C15,Teilnehmer[],2,FALSE),"")</f>
        <v/>
      </c>
      <c r="E15" s="125" t="str">
        <f>IFERROR(VLOOKUP(C15,Teilnehmer[],3,FALSE),"")</f>
        <v/>
      </c>
      <c r="F15" s="145" t="str">
        <f>IFERROR(VLOOKUP(C15,Teilnehmer[],5,FALSE),"")</f>
        <v/>
      </c>
      <c r="G15" s="126" t="str">
        <f>IFERROR(VLOOKUP(C15,Teilnehmer[],10,FALSE),"")</f>
        <v/>
      </c>
      <c r="H15" s="119">
        <v>2</v>
      </c>
    </row>
    <row r="16" spans="1:15" s="19" customFormat="1" ht="16.5" customHeight="1" thickBot="1" x14ac:dyDescent="0.35">
      <c r="A16" s="127"/>
      <c r="B16" s="128">
        <v>2</v>
      </c>
      <c r="C16" s="129" t="str">
        <f>IFERROR(INDEX(Teilnehmer[LfNr],_xlfn.AGGREGATE(15,6,ROW(Teilnehmer[LfNr])/((Teilnehmer[Paarkür]=A15)),ROW()-14)-1,1),"")</f>
        <v/>
      </c>
      <c r="D16" s="129" t="str">
        <f>IFERROR(VLOOKUP(C16,Teilnehmer[],2,FALSE),"")</f>
        <v/>
      </c>
      <c r="E16" s="129" t="str">
        <f>IFERROR(VLOOKUP(C16,Teilnehmer[],3,FALSE),"")</f>
        <v/>
      </c>
      <c r="F16" s="146" t="str">
        <f>IFERROR(VLOOKUP(C16,Teilnehmer[],5,FALSE),"")</f>
        <v/>
      </c>
      <c r="G16" s="300" t="str">
        <f>IFERROR(VLOOKUP(C16,Teilnehmer[],10,FALSE),"")</f>
        <v/>
      </c>
      <c r="H16" s="119"/>
    </row>
    <row r="17" spans="1:8" s="19" customFormat="1" ht="16.5" customHeight="1" x14ac:dyDescent="0.3">
      <c r="A17" s="138">
        <v>7</v>
      </c>
      <c r="B17" s="139">
        <v>1</v>
      </c>
      <c r="C17" s="140" t="str">
        <f>IFERROR(INDEX(Teilnehmer[LfNr],_xlfn.AGGREGATE(15,6,ROW(Teilnehmer[LfNr])/((Teilnehmer[Paarkür]=A17)),ROW()-16)-1,1),"")</f>
        <v/>
      </c>
      <c r="D17" s="140" t="str">
        <f>IFERROR(VLOOKUP(C17,Teilnehmer[],2,FALSE),"")</f>
        <v/>
      </c>
      <c r="E17" s="140" t="str">
        <f>IFERROR(VLOOKUP(C17,Teilnehmer[],3,FALSE),"")</f>
        <v/>
      </c>
      <c r="F17" s="147" t="str">
        <f>IFERROR(VLOOKUP(C17,Teilnehmer[],5,FALSE),"")</f>
        <v/>
      </c>
      <c r="G17" s="133" t="str">
        <f>IFERROR(VLOOKUP(C17,Teilnehmer[],10,FALSE),"")</f>
        <v/>
      </c>
      <c r="H17" s="119">
        <v>2</v>
      </c>
    </row>
    <row r="18" spans="1:8" s="19" customFormat="1" ht="16.5" customHeight="1" thickBot="1" x14ac:dyDescent="0.35">
      <c r="A18" s="134"/>
      <c r="B18" s="135">
        <v>2</v>
      </c>
      <c r="C18" s="136" t="str">
        <f>IFERROR(INDEX(Teilnehmer[LfNr],_xlfn.AGGREGATE(15,6,ROW(Teilnehmer[LfNr])/((Teilnehmer[Paarkür]=A17)),ROW()-16)-1,1),"")</f>
        <v/>
      </c>
      <c r="D18" s="136" t="str">
        <f>IFERROR(VLOOKUP(C18,Teilnehmer[],2,FALSE),"")</f>
        <v/>
      </c>
      <c r="E18" s="136" t="str">
        <f>IFERROR(VLOOKUP(C18,Teilnehmer[],3,FALSE),"")</f>
        <v/>
      </c>
      <c r="F18" s="144" t="str">
        <f>IFERROR(VLOOKUP(C18,Teilnehmer[],5,FALSE),"")</f>
        <v/>
      </c>
      <c r="G18" s="299" t="str">
        <f>IFERROR(VLOOKUP(C18,Teilnehmer[],10,FALSE),"")</f>
        <v/>
      </c>
      <c r="H18" s="119"/>
    </row>
    <row r="19" spans="1:8" s="19" customFormat="1" ht="16.5" customHeight="1" x14ac:dyDescent="0.3">
      <c r="A19" s="123">
        <v>8</v>
      </c>
      <c r="B19" s="124">
        <v>1</v>
      </c>
      <c r="C19" s="125" t="str">
        <f>IFERROR(INDEX(Teilnehmer[LfNr],_xlfn.AGGREGATE(15,6,ROW(Teilnehmer[LfNr])/((Teilnehmer[Paarkür]=A19)),ROW()-18)-1,1),"")</f>
        <v/>
      </c>
      <c r="D19" s="125" t="str">
        <f>IFERROR(VLOOKUP(C19,Teilnehmer[],2,FALSE),"")</f>
        <v/>
      </c>
      <c r="E19" s="125" t="str">
        <f>IFERROR(VLOOKUP(C19,Teilnehmer[],3,FALSE),"")</f>
        <v/>
      </c>
      <c r="F19" s="145" t="str">
        <f>IFERROR(VLOOKUP(C19,Teilnehmer[],5,FALSE),"")</f>
        <v/>
      </c>
      <c r="G19" s="126" t="str">
        <f>IFERROR(VLOOKUP(C19,Teilnehmer[],10,FALSE),"")</f>
        <v/>
      </c>
      <c r="H19" s="119">
        <v>2</v>
      </c>
    </row>
    <row r="20" spans="1:8" s="19" customFormat="1" ht="16.5" customHeight="1" thickBot="1" x14ac:dyDescent="0.35">
      <c r="A20" s="127"/>
      <c r="B20" s="128">
        <v>2</v>
      </c>
      <c r="C20" s="129" t="str">
        <f>IFERROR(INDEX(Teilnehmer[LfNr],_xlfn.AGGREGATE(15,6,ROW(Teilnehmer[LfNr])/((Teilnehmer[Paarkür]=A19)),ROW()-18)-1,1),"")</f>
        <v/>
      </c>
      <c r="D20" s="129" t="str">
        <f>IFERROR(VLOOKUP(C20,Teilnehmer[],2,FALSE),"")</f>
        <v/>
      </c>
      <c r="E20" s="129" t="str">
        <f>IFERROR(VLOOKUP(C20,Teilnehmer[],3,FALSE),"")</f>
        <v/>
      </c>
      <c r="F20" s="146" t="str">
        <f>IFERROR(VLOOKUP(C20,Teilnehmer[],5,FALSE),"")</f>
        <v/>
      </c>
      <c r="G20" s="300" t="str">
        <f>IFERROR(VLOOKUP(C20,Teilnehmer[],10,FALSE),"")</f>
        <v/>
      </c>
      <c r="H20" s="119"/>
    </row>
    <row r="21" spans="1:8" s="19" customFormat="1" ht="16.5" customHeight="1" x14ac:dyDescent="0.3">
      <c r="A21" s="138">
        <v>9</v>
      </c>
      <c r="B21" s="139">
        <v>1</v>
      </c>
      <c r="C21" s="140" t="str">
        <f>IFERROR(INDEX(Teilnehmer[LfNr],_xlfn.AGGREGATE(15,6,ROW(Teilnehmer[LfNr])/((Teilnehmer[Paarkür]=A21)),ROW()-20)-1,1),"")</f>
        <v/>
      </c>
      <c r="D21" s="140" t="str">
        <f>IFERROR(VLOOKUP(C21,Teilnehmer[],2,FALSE),"")</f>
        <v/>
      </c>
      <c r="E21" s="140" t="str">
        <f>IFERROR(VLOOKUP(C21,Teilnehmer[],3,FALSE),"")</f>
        <v/>
      </c>
      <c r="F21" s="147" t="str">
        <f>IFERROR(VLOOKUP(C21,Teilnehmer[],5,FALSE),"")</f>
        <v/>
      </c>
      <c r="G21" s="133" t="str">
        <f>IFERROR(VLOOKUP(C21,Teilnehmer[],10,FALSE),"")</f>
        <v/>
      </c>
      <c r="H21" s="119">
        <v>2</v>
      </c>
    </row>
    <row r="22" spans="1:8" s="19" customFormat="1" ht="16.5" customHeight="1" thickBot="1" x14ac:dyDescent="0.35">
      <c r="A22" s="141"/>
      <c r="B22" s="135">
        <v>2</v>
      </c>
      <c r="C22" s="136" t="str">
        <f>IFERROR(INDEX(Teilnehmer[LfNr],_xlfn.AGGREGATE(15,6,ROW(Teilnehmer[LfNr])/((Teilnehmer[Paarkür]=A21)),ROW()-20)-1,1),"")</f>
        <v/>
      </c>
      <c r="D22" s="136" t="str">
        <f>IFERROR(VLOOKUP(C22,Teilnehmer[],2,FALSE),"")</f>
        <v/>
      </c>
      <c r="E22" s="136" t="str">
        <f>IFERROR(VLOOKUP(C22,Teilnehmer[],3,FALSE),"")</f>
        <v/>
      </c>
      <c r="F22" s="144" t="str">
        <f>IFERROR(VLOOKUP(C22,Teilnehmer[],5,FALSE),"")</f>
        <v/>
      </c>
      <c r="G22" s="299" t="str">
        <f>IFERROR(VLOOKUP(C22,Teilnehmer[],10,FALSE),"")</f>
        <v/>
      </c>
      <c r="H22" s="119"/>
    </row>
    <row r="23" spans="1:8" s="19" customFormat="1" ht="16.5" customHeight="1" x14ac:dyDescent="0.3">
      <c r="A23" s="123">
        <v>10</v>
      </c>
      <c r="B23" s="124">
        <v>1</v>
      </c>
      <c r="C23" s="125" t="str">
        <f>IFERROR(INDEX(Teilnehmer[LfNr],_xlfn.AGGREGATE(15,6,ROW(Teilnehmer[LfNr])/((Teilnehmer[Paarkür]=A23)),ROW()-22)-1,1),"")</f>
        <v/>
      </c>
      <c r="D23" s="125" t="str">
        <f>IFERROR(VLOOKUP(C23,Teilnehmer[],2,FALSE),"")</f>
        <v/>
      </c>
      <c r="E23" s="125" t="str">
        <f>IFERROR(VLOOKUP(C23,Teilnehmer[],3,FALSE),"")</f>
        <v/>
      </c>
      <c r="F23" s="145" t="str">
        <f>IFERROR(VLOOKUP(C23,Teilnehmer[],5,FALSE),"")</f>
        <v/>
      </c>
      <c r="G23" s="126" t="str">
        <f>IFERROR(VLOOKUP(C23,Teilnehmer[],10,FALSE),"")</f>
        <v/>
      </c>
      <c r="H23" s="119">
        <v>2</v>
      </c>
    </row>
    <row r="24" spans="1:8" s="19" customFormat="1" ht="16.5" customHeight="1" thickBot="1" x14ac:dyDescent="0.35">
      <c r="A24" s="142"/>
      <c r="B24" s="128">
        <v>2</v>
      </c>
      <c r="C24" s="129" t="str">
        <f>IFERROR(INDEX(Teilnehmer[LfNr],_xlfn.AGGREGATE(15,6,ROW(Teilnehmer[LfNr])/((Teilnehmer[Paarkür]=A23)),ROW()-22)-1,1),"")</f>
        <v/>
      </c>
      <c r="D24" s="129" t="str">
        <f>IFERROR(VLOOKUP(C24,Teilnehmer[],2,FALSE),"")</f>
        <v/>
      </c>
      <c r="E24" s="129" t="str">
        <f>IFERROR(VLOOKUP(C24,Teilnehmer[],3,FALSE),"")</f>
        <v/>
      </c>
      <c r="F24" s="146" t="str">
        <f>IFERROR(VLOOKUP(C24,Teilnehmer[],5,FALSE),"")</f>
        <v/>
      </c>
      <c r="G24" s="300" t="str">
        <f>IFERROR(VLOOKUP(C24,Teilnehmer[],10,FALSE),"")</f>
        <v/>
      </c>
      <c r="H24" s="119"/>
    </row>
    <row r="25" spans="1:8" s="19" customFormat="1" ht="16.5" customHeight="1" x14ac:dyDescent="0.3">
      <c r="A25" s="138">
        <v>11</v>
      </c>
      <c r="B25" s="139">
        <v>1</v>
      </c>
      <c r="C25" s="140" t="str">
        <f>IFERROR(INDEX(Teilnehmer[LfNr],_xlfn.AGGREGATE(15,6,ROW(Teilnehmer[LfNr])/((Teilnehmer[Paarkür]=A25)),ROW()-24)-1,1),"")</f>
        <v/>
      </c>
      <c r="D25" s="140" t="str">
        <f>IFERROR(VLOOKUP(C25,Teilnehmer[],2,FALSE),"")</f>
        <v/>
      </c>
      <c r="E25" s="140" t="str">
        <f>IFERROR(VLOOKUP(C25,Teilnehmer[],3,FALSE),"")</f>
        <v/>
      </c>
      <c r="F25" s="147" t="str">
        <f>IFERROR(VLOOKUP(C25,Teilnehmer[],5,FALSE),"")</f>
        <v/>
      </c>
      <c r="G25" s="133" t="str">
        <f>IFERROR(VLOOKUP(C25,Teilnehmer[],10,FALSE),"")</f>
        <v/>
      </c>
      <c r="H25" s="119">
        <v>2</v>
      </c>
    </row>
    <row r="26" spans="1:8" s="19" customFormat="1" ht="16.5" customHeight="1" thickBot="1" x14ac:dyDescent="0.35">
      <c r="A26" s="141"/>
      <c r="B26" s="135">
        <v>2</v>
      </c>
      <c r="C26" s="136" t="str">
        <f>IFERROR(INDEX(Teilnehmer[LfNr],_xlfn.AGGREGATE(15,6,ROW(Teilnehmer[LfNr])/((Teilnehmer[Paarkür]=A25)),ROW()-24)-1,1),"")</f>
        <v/>
      </c>
      <c r="D26" s="136" t="str">
        <f>IFERROR(VLOOKUP(C26,Teilnehmer[],2,FALSE),"")</f>
        <v/>
      </c>
      <c r="E26" s="136" t="str">
        <f>IFERROR(VLOOKUP(C26,Teilnehmer[],3,FALSE),"")</f>
        <v/>
      </c>
      <c r="F26" s="144" t="str">
        <f>IFERROR(VLOOKUP(C26,Teilnehmer[],5,FALSE),"")</f>
        <v/>
      </c>
      <c r="G26" s="299" t="str">
        <f>IFERROR(VLOOKUP(C26,Teilnehmer[],10,FALSE),"")</f>
        <v/>
      </c>
      <c r="H26" s="119"/>
    </row>
    <row r="27" spans="1:8" s="19" customFormat="1" ht="16.5" customHeight="1" x14ac:dyDescent="0.3">
      <c r="A27" s="123">
        <v>12</v>
      </c>
      <c r="B27" s="124">
        <v>1</v>
      </c>
      <c r="C27" s="125" t="str">
        <f>IFERROR(INDEX(Teilnehmer[LfNr],_xlfn.AGGREGATE(15,6,ROW(Teilnehmer[LfNr])/((Teilnehmer[Paarkür]=A27)),ROW()-26)-1,1),"")</f>
        <v/>
      </c>
      <c r="D27" s="125" t="str">
        <f>IFERROR(VLOOKUP(C27,Teilnehmer[],2,FALSE),"")</f>
        <v/>
      </c>
      <c r="E27" s="125" t="str">
        <f>IFERROR(VLOOKUP(C27,Teilnehmer[],3,FALSE),"")</f>
        <v/>
      </c>
      <c r="F27" s="145" t="str">
        <f>IFERROR(VLOOKUP(C27,Teilnehmer[],5,FALSE),"")</f>
        <v/>
      </c>
      <c r="G27" s="126" t="str">
        <f>IFERROR(VLOOKUP(C27,Teilnehmer[],10,FALSE),"")</f>
        <v/>
      </c>
      <c r="H27" s="119">
        <v>2</v>
      </c>
    </row>
    <row r="28" spans="1:8" s="19" customFormat="1" ht="16.5" customHeight="1" thickBot="1" x14ac:dyDescent="0.35">
      <c r="A28" s="127"/>
      <c r="B28" s="128">
        <v>2</v>
      </c>
      <c r="C28" s="129" t="str">
        <f>IFERROR(INDEX(Teilnehmer[LfNr],_xlfn.AGGREGATE(15,6,ROW(Teilnehmer[LfNr])/((Teilnehmer[Paarkür]=A27)),ROW()-26)-1,1),"")</f>
        <v/>
      </c>
      <c r="D28" s="129" t="str">
        <f>IFERROR(VLOOKUP(C28,Teilnehmer[],2,FALSE),"")</f>
        <v/>
      </c>
      <c r="E28" s="129" t="str">
        <f>IFERROR(VLOOKUP(C28,Teilnehmer[],3,FALSE),"")</f>
        <v/>
      </c>
      <c r="F28" s="146" t="str">
        <f>IFERROR(VLOOKUP(C28,Teilnehmer[],5,FALSE),"")</f>
        <v/>
      </c>
      <c r="G28" s="300" t="str">
        <f>IFERROR(VLOOKUP(C28,Teilnehmer[],10,FALSE),"")</f>
        <v/>
      </c>
      <c r="H28" s="119"/>
    </row>
    <row r="29" spans="1:8" s="19" customFormat="1" ht="16.5" customHeight="1" x14ac:dyDescent="0.3">
      <c r="A29" s="138">
        <v>13</v>
      </c>
      <c r="B29" s="139">
        <v>1</v>
      </c>
      <c r="C29" s="140" t="str">
        <f>IFERROR(INDEX(Teilnehmer[LfNr],_xlfn.AGGREGATE(15,6,ROW(Teilnehmer[LfNr])/((Teilnehmer[Paarkür]=A29)),ROW()-28)-1,1),"")</f>
        <v/>
      </c>
      <c r="D29" s="140" t="str">
        <f>IFERROR(VLOOKUP(C29,Teilnehmer[],2,FALSE),"")</f>
        <v/>
      </c>
      <c r="E29" s="140" t="str">
        <f>IFERROR(VLOOKUP(C29,Teilnehmer[],3,FALSE),"")</f>
        <v/>
      </c>
      <c r="F29" s="147" t="str">
        <f>IFERROR(VLOOKUP(C29,Teilnehmer[],5,FALSE),"")</f>
        <v/>
      </c>
      <c r="G29" s="133" t="str">
        <f>IFERROR(VLOOKUP(C29,Teilnehmer[],10,FALSE),"")</f>
        <v/>
      </c>
      <c r="H29" s="119">
        <v>2</v>
      </c>
    </row>
    <row r="30" spans="1:8" s="19" customFormat="1" ht="16.5" customHeight="1" thickBot="1" x14ac:dyDescent="0.35">
      <c r="A30" s="134"/>
      <c r="B30" s="135">
        <v>2</v>
      </c>
      <c r="C30" s="136" t="str">
        <f>IFERROR(INDEX(Teilnehmer[LfNr],_xlfn.AGGREGATE(15,6,ROW(Teilnehmer[LfNr])/((Teilnehmer[Paarkür]=A29)),ROW()-28)-1,1),"")</f>
        <v/>
      </c>
      <c r="D30" s="136" t="str">
        <f>IFERROR(VLOOKUP(C30,Teilnehmer[],2,FALSE),"")</f>
        <v/>
      </c>
      <c r="E30" s="136" t="str">
        <f>IFERROR(VLOOKUP(C30,Teilnehmer[],3,FALSE),"")</f>
        <v/>
      </c>
      <c r="F30" s="144" t="str">
        <f>IFERROR(VLOOKUP(C30,Teilnehmer[],5,FALSE),"")</f>
        <v/>
      </c>
      <c r="G30" s="299" t="str">
        <f>IFERROR(VLOOKUP(C30,Teilnehmer[],10,FALSE),"")</f>
        <v/>
      </c>
      <c r="H30" s="119"/>
    </row>
    <row r="31" spans="1:8" s="19" customFormat="1" ht="16.5" customHeight="1" x14ac:dyDescent="0.3">
      <c r="A31" s="123">
        <v>14</v>
      </c>
      <c r="B31" s="124">
        <v>1</v>
      </c>
      <c r="C31" s="125" t="str">
        <f>IFERROR(INDEX(Teilnehmer[LfNr],_xlfn.AGGREGATE(15,6,ROW(Teilnehmer[LfNr])/((Teilnehmer[Paarkür]=A31)),ROW()-30)-1,1),"")</f>
        <v/>
      </c>
      <c r="D31" s="125" t="str">
        <f>IFERROR(VLOOKUP(C31,Teilnehmer[],2,FALSE),"")</f>
        <v/>
      </c>
      <c r="E31" s="125" t="str">
        <f>IFERROR(VLOOKUP(C31,Teilnehmer[],3,FALSE),"")</f>
        <v/>
      </c>
      <c r="F31" s="145" t="str">
        <f>IFERROR(VLOOKUP(C31,Teilnehmer[],5,FALSE),"")</f>
        <v/>
      </c>
      <c r="G31" s="126" t="str">
        <f>IFERROR(VLOOKUP(C31,Teilnehmer[],10,FALSE),"")</f>
        <v/>
      </c>
      <c r="H31" s="119">
        <v>2</v>
      </c>
    </row>
    <row r="32" spans="1:8" s="19" customFormat="1" ht="16.5" customHeight="1" thickBot="1" x14ac:dyDescent="0.35">
      <c r="A32" s="127"/>
      <c r="B32" s="128">
        <v>2</v>
      </c>
      <c r="C32" s="129" t="str">
        <f>IFERROR(INDEX(Teilnehmer[LfNr],_xlfn.AGGREGATE(15,6,ROW(Teilnehmer[LfNr])/((Teilnehmer[Paarkür]=A31)),ROW()-30)-1,1),"")</f>
        <v/>
      </c>
      <c r="D32" s="129" t="str">
        <f>IFERROR(VLOOKUP(C32,Teilnehmer[],2,FALSE),"")</f>
        <v/>
      </c>
      <c r="E32" s="129" t="str">
        <f>IFERROR(VLOOKUP(C32,Teilnehmer[],3,FALSE),"")</f>
        <v/>
      </c>
      <c r="F32" s="146" t="str">
        <f>IFERROR(VLOOKUP(C32,Teilnehmer[],5,FALSE),"")</f>
        <v/>
      </c>
      <c r="G32" s="300" t="str">
        <f>IFERROR(VLOOKUP(C32,Teilnehmer[],10,FALSE),"")</f>
        <v/>
      </c>
      <c r="H32" s="119"/>
    </row>
    <row r="33" spans="1:8" s="19" customFormat="1" ht="16.5" customHeight="1" x14ac:dyDescent="0.3">
      <c r="A33" s="138">
        <v>15</v>
      </c>
      <c r="B33" s="139">
        <v>1</v>
      </c>
      <c r="C33" s="140" t="str">
        <f>IFERROR(INDEX(Teilnehmer[LfNr],_xlfn.AGGREGATE(15,6,ROW(Teilnehmer[LfNr])/((Teilnehmer[Paarkür]=A33)),ROW()-32)-1,1),"")</f>
        <v/>
      </c>
      <c r="D33" s="140" t="str">
        <f>IFERROR(VLOOKUP(C33,Teilnehmer[],2,FALSE),"")</f>
        <v/>
      </c>
      <c r="E33" s="140" t="str">
        <f>IFERROR(VLOOKUP(C33,Teilnehmer[],3,FALSE),"")</f>
        <v/>
      </c>
      <c r="F33" s="147" t="str">
        <f>IFERROR(VLOOKUP(C33,Teilnehmer[],5,FALSE),"")</f>
        <v/>
      </c>
      <c r="G33" s="133" t="str">
        <f>IFERROR(VLOOKUP(C33,Teilnehmer[],10,FALSE),"")</f>
        <v/>
      </c>
      <c r="H33" s="119">
        <v>2</v>
      </c>
    </row>
    <row r="34" spans="1:8" s="19" customFormat="1" ht="16.5" customHeight="1" thickBot="1" x14ac:dyDescent="0.35">
      <c r="A34" s="134"/>
      <c r="B34" s="135">
        <v>2</v>
      </c>
      <c r="C34" s="136" t="str">
        <f>IFERROR(INDEX(Teilnehmer[LfNr],_xlfn.AGGREGATE(15,6,ROW(Teilnehmer[LfNr])/((Teilnehmer[Paarkür]=A33)),ROW()-32)-1,1),"")</f>
        <v/>
      </c>
      <c r="D34" s="136" t="str">
        <f>IFERROR(VLOOKUP(C34,Teilnehmer[],2,FALSE),"")</f>
        <v/>
      </c>
      <c r="E34" s="136" t="str">
        <f>IFERROR(VLOOKUP(C34,Teilnehmer[],3,FALSE),"")</f>
        <v/>
      </c>
      <c r="F34" s="144" t="str">
        <f>IFERROR(VLOOKUP(C34,Teilnehmer[],5,FALSE),"")</f>
        <v/>
      </c>
      <c r="G34" s="299" t="str">
        <f>IFERROR(VLOOKUP(C34,Teilnehmer[],10,FALSE),"")</f>
        <v/>
      </c>
      <c r="H34" s="119"/>
    </row>
    <row r="35" spans="1:8" s="19" customFormat="1" ht="16.5" customHeight="1" x14ac:dyDescent="0.3">
      <c r="A35" s="123">
        <v>16</v>
      </c>
      <c r="B35" s="124">
        <v>1</v>
      </c>
      <c r="C35" s="125" t="str">
        <f>IFERROR(INDEX(Teilnehmer[LfNr],_xlfn.AGGREGATE(15,6,ROW(Teilnehmer[LfNr])/((Teilnehmer[Paarkür]=A35)),ROW()-34)-1,1),"")</f>
        <v/>
      </c>
      <c r="D35" s="125" t="str">
        <f>IFERROR(VLOOKUP(C35,Teilnehmer[],2,FALSE),"")</f>
        <v/>
      </c>
      <c r="E35" s="125" t="str">
        <f>IFERROR(VLOOKUP(C35,Teilnehmer[],3,FALSE),"")</f>
        <v/>
      </c>
      <c r="F35" s="145" t="str">
        <f>IFERROR(VLOOKUP(C35,Teilnehmer[],5,FALSE),"")</f>
        <v/>
      </c>
      <c r="G35" s="126" t="str">
        <f>IFERROR(VLOOKUP(C35,Teilnehmer[],10,FALSE),"")</f>
        <v/>
      </c>
      <c r="H35" s="119">
        <v>2</v>
      </c>
    </row>
    <row r="36" spans="1:8" s="19" customFormat="1" ht="16.5" customHeight="1" thickBot="1" x14ac:dyDescent="0.35">
      <c r="A36" s="127"/>
      <c r="B36" s="128">
        <v>2</v>
      </c>
      <c r="C36" s="129" t="str">
        <f>IFERROR(INDEX(Teilnehmer[LfNr],_xlfn.AGGREGATE(15,6,ROW(Teilnehmer[LfNr])/((Teilnehmer[Paarkür]=A35)),ROW()-34)-1,1),"")</f>
        <v/>
      </c>
      <c r="D36" s="129" t="str">
        <f>IFERROR(VLOOKUP(C36,Teilnehmer[],2,FALSE),"")</f>
        <v/>
      </c>
      <c r="E36" s="129" t="str">
        <f>IFERROR(VLOOKUP(C36,Teilnehmer[],3,FALSE),"")</f>
        <v/>
      </c>
      <c r="F36" s="146" t="str">
        <f>IFERROR(VLOOKUP(C36,Teilnehmer[],5,FALSE),"")</f>
        <v/>
      </c>
      <c r="G36" s="300" t="str">
        <f>IFERROR(VLOOKUP(C36,Teilnehmer[],10,FALSE),"")</f>
        <v/>
      </c>
      <c r="H36" s="119"/>
    </row>
    <row r="37" spans="1:8" s="19" customFormat="1" ht="16.5" customHeight="1" x14ac:dyDescent="0.3">
      <c r="A37" s="138">
        <v>17</v>
      </c>
      <c r="B37" s="139">
        <v>1</v>
      </c>
      <c r="C37" s="140" t="str">
        <f>IFERROR(INDEX(Teilnehmer[LfNr],_xlfn.AGGREGATE(15,6,ROW(Teilnehmer[LfNr])/((Teilnehmer[Paarkür]=A37)),ROW()-36)-1,1),"")</f>
        <v/>
      </c>
      <c r="D37" s="140" t="str">
        <f>IFERROR(VLOOKUP(C37,Teilnehmer[],2,FALSE),"")</f>
        <v/>
      </c>
      <c r="E37" s="140" t="str">
        <f>IFERROR(VLOOKUP(C37,Teilnehmer[],3,FALSE),"")</f>
        <v/>
      </c>
      <c r="F37" s="147" t="str">
        <f>IFERROR(VLOOKUP(C37,Teilnehmer[],5,FALSE),"")</f>
        <v/>
      </c>
      <c r="G37" s="133" t="str">
        <f>IFERROR(VLOOKUP(C37,Teilnehmer[],10,FALSE),"")</f>
        <v/>
      </c>
      <c r="H37" s="119">
        <v>2</v>
      </c>
    </row>
    <row r="38" spans="1:8" s="19" customFormat="1" ht="16.5" customHeight="1" thickBot="1" x14ac:dyDescent="0.35">
      <c r="A38" s="134"/>
      <c r="B38" s="135">
        <v>2</v>
      </c>
      <c r="C38" s="136" t="str">
        <f>IFERROR(INDEX(Teilnehmer[LfNr],_xlfn.AGGREGATE(15,6,ROW(Teilnehmer[LfNr])/((Teilnehmer[Paarkür]=A37)),ROW()-36)-1,1),"")</f>
        <v/>
      </c>
      <c r="D38" s="136" t="str">
        <f>IFERROR(VLOOKUP(C38,Teilnehmer[],2,FALSE),"")</f>
        <v/>
      </c>
      <c r="E38" s="136" t="str">
        <f>IFERROR(VLOOKUP(C38,Teilnehmer[],3,FALSE),"")</f>
        <v/>
      </c>
      <c r="F38" s="144" t="str">
        <f>IFERROR(VLOOKUP(C38,Teilnehmer[],5,FALSE),"")</f>
        <v/>
      </c>
      <c r="G38" s="299" t="str">
        <f>IFERROR(VLOOKUP(C38,Teilnehmer[],10,FALSE),"")</f>
        <v/>
      </c>
      <c r="H38" s="119"/>
    </row>
    <row r="39" spans="1:8" s="19" customFormat="1" ht="16.5" customHeight="1" x14ac:dyDescent="0.3">
      <c r="A39" s="123">
        <v>18</v>
      </c>
      <c r="B39" s="124">
        <v>1</v>
      </c>
      <c r="C39" s="125" t="str">
        <f>IFERROR(INDEX(Teilnehmer[LfNr],_xlfn.AGGREGATE(15,6,ROW(Teilnehmer[LfNr])/((Teilnehmer[Paarkür]=A39)),ROW()-38)-1,1),"")</f>
        <v/>
      </c>
      <c r="D39" s="125" t="str">
        <f>IFERROR(VLOOKUP(C39,Teilnehmer[],2,FALSE),"")</f>
        <v/>
      </c>
      <c r="E39" s="125" t="str">
        <f>IFERROR(VLOOKUP(C39,Teilnehmer[],3,FALSE),"")</f>
        <v/>
      </c>
      <c r="F39" s="145" t="str">
        <f>IFERROR(VLOOKUP(C39,Teilnehmer[],5,FALSE),"")</f>
        <v/>
      </c>
      <c r="G39" s="126" t="str">
        <f>IFERROR(VLOOKUP(C39,Teilnehmer[],10,FALSE),"")</f>
        <v/>
      </c>
      <c r="H39" s="119">
        <v>2</v>
      </c>
    </row>
    <row r="40" spans="1:8" s="19" customFormat="1" ht="16.5" customHeight="1" thickBot="1" x14ac:dyDescent="0.35">
      <c r="A40" s="127"/>
      <c r="B40" s="128">
        <v>2</v>
      </c>
      <c r="C40" s="129" t="str">
        <f>IFERROR(INDEX(Teilnehmer[LfNr],_xlfn.AGGREGATE(15,6,ROW(Teilnehmer[LfNr])/((Teilnehmer[Paarkür]=A39)),ROW()-38)-1,1),"")</f>
        <v/>
      </c>
      <c r="D40" s="129" t="str">
        <f>IFERROR(VLOOKUP(C40,Teilnehmer[],2,FALSE),"")</f>
        <v/>
      </c>
      <c r="E40" s="129" t="str">
        <f>IFERROR(VLOOKUP(C40,Teilnehmer[],3,FALSE),"")</f>
        <v/>
      </c>
      <c r="F40" s="146" t="str">
        <f>IFERROR(VLOOKUP(C40,Teilnehmer[],5,FALSE),"")</f>
        <v/>
      </c>
      <c r="G40" s="300" t="str">
        <f>IFERROR(VLOOKUP(C40,Teilnehmer[],10,FALSE),"")</f>
        <v/>
      </c>
      <c r="H40" s="119"/>
    </row>
    <row r="41" spans="1:8" s="19" customFormat="1" ht="16.5" customHeight="1" x14ac:dyDescent="0.3">
      <c r="A41" s="138">
        <v>19</v>
      </c>
      <c r="B41" s="139">
        <v>1</v>
      </c>
      <c r="C41" s="140" t="str">
        <f>IFERROR(INDEX(Teilnehmer[LfNr],_xlfn.AGGREGATE(15,6,ROW(Teilnehmer[LfNr])/((Teilnehmer[Paarkür]=A41)),ROW()-40)-1,1),"")</f>
        <v/>
      </c>
      <c r="D41" s="140" t="str">
        <f>IFERROR(VLOOKUP(C41,Teilnehmer[],2,FALSE),"")</f>
        <v/>
      </c>
      <c r="E41" s="140" t="str">
        <f>IFERROR(VLOOKUP(C41,Teilnehmer[],3,FALSE),"")</f>
        <v/>
      </c>
      <c r="F41" s="147" t="str">
        <f>IFERROR(VLOOKUP(C41,Teilnehmer[],5,FALSE),"")</f>
        <v/>
      </c>
      <c r="G41" s="133" t="str">
        <f>IFERROR(VLOOKUP(C41,Teilnehmer[],10,FALSE),"")</f>
        <v/>
      </c>
      <c r="H41" s="119">
        <v>2</v>
      </c>
    </row>
    <row r="42" spans="1:8" s="19" customFormat="1" ht="16.5" customHeight="1" thickBot="1" x14ac:dyDescent="0.35">
      <c r="A42" s="141"/>
      <c r="B42" s="135">
        <v>2</v>
      </c>
      <c r="C42" s="136" t="str">
        <f>IFERROR(INDEX(Teilnehmer[LfNr],_xlfn.AGGREGATE(15,6,ROW(Teilnehmer[LfNr])/((Teilnehmer[Paarkür]=A41)),ROW()-40)-1,1),"")</f>
        <v/>
      </c>
      <c r="D42" s="136" t="str">
        <f>IFERROR(VLOOKUP(C42,Teilnehmer[],2,FALSE),"")</f>
        <v/>
      </c>
      <c r="E42" s="136" t="str">
        <f>IFERROR(VLOOKUP(C42,Teilnehmer[],3,FALSE),"")</f>
        <v/>
      </c>
      <c r="F42" s="144" t="str">
        <f>IFERROR(VLOOKUP(C42,Teilnehmer[],5,FALSE),"")</f>
        <v/>
      </c>
      <c r="G42" s="299" t="str">
        <f>IFERROR(VLOOKUP(C42,Teilnehmer[],10,FALSE),"")</f>
        <v/>
      </c>
      <c r="H42" s="119"/>
    </row>
    <row r="43" spans="1:8" s="19" customFormat="1" ht="16.5" customHeight="1" x14ac:dyDescent="0.3">
      <c r="A43" s="123">
        <v>20</v>
      </c>
      <c r="B43" s="124">
        <v>1</v>
      </c>
      <c r="C43" s="125" t="str">
        <f>IFERROR(INDEX(Teilnehmer[LfNr],_xlfn.AGGREGATE(15,6,ROW(Teilnehmer[LfNr])/((Teilnehmer[Paarkür]=A43)),ROW()-42)-1,1),"")</f>
        <v/>
      </c>
      <c r="D43" s="125" t="str">
        <f>IFERROR(VLOOKUP(C43,Teilnehmer[],2,FALSE),"")</f>
        <v/>
      </c>
      <c r="E43" s="125" t="str">
        <f>IFERROR(VLOOKUP(C43,Teilnehmer[],3,FALSE),"")</f>
        <v/>
      </c>
      <c r="F43" s="145" t="str">
        <f>IFERROR(VLOOKUP(C43,Teilnehmer[],5,FALSE),"")</f>
        <v/>
      </c>
      <c r="G43" s="126" t="str">
        <f>IFERROR(VLOOKUP(C43,Teilnehmer[],10,FALSE),"")</f>
        <v/>
      </c>
      <c r="H43" s="119">
        <v>2</v>
      </c>
    </row>
    <row r="44" spans="1:8" s="19" customFormat="1" ht="16.5" customHeight="1" thickBot="1" x14ac:dyDescent="0.35">
      <c r="A44" s="142"/>
      <c r="B44" s="128">
        <v>2</v>
      </c>
      <c r="C44" s="129" t="str">
        <f>IFERROR(INDEX(Teilnehmer[LfNr],_xlfn.AGGREGATE(15,6,ROW(Teilnehmer[LfNr])/((Teilnehmer[Paarkür]=A43)),ROW()-42)-1,1),"")</f>
        <v/>
      </c>
      <c r="D44" s="129" t="str">
        <f>IFERROR(VLOOKUP(C44,Teilnehmer[],2,FALSE),"")</f>
        <v/>
      </c>
      <c r="E44" s="129" t="str">
        <f>IFERROR(VLOOKUP(C44,Teilnehmer[],3,FALSE),"")</f>
        <v/>
      </c>
      <c r="F44" s="146" t="str">
        <f>IFERROR(VLOOKUP(C44,Teilnehmer[],5,FALSE),"")</f>
        <v/>
      </c>
      <c r="G44" s="300" t="str">
        <f>IFERROR(VLOOKUP(C44,Teilnehmer[],10,FALSE),"")</f>
        <v/>
      </c>
      <c r="H44" s="119"/>
    </row>
    <row r="45" spans="1:8" s="19" customFormat="1" ht="16.5" customHeight="1" x14ac:dyDescent="0.3">
      <c r="A45" s="138">
        <v>21</v>
      </c>
      <c r="B45" s="139">
        <v>1</v>
      </c>
      <c r="C45" s="140" t="str">
        <f>IFERROR(INDEX(Teilnehmer[LfNr],_xlfn.AGGREGATE(15,6,ROW(Teilnehmer[LfNr])/((Teilnehmer[Paarkür]=A45)),ROW()-44)-1,1),"")</f>
        <v/>
      </c>
      <c r="D45" s="140" t="str">
        <f>IFERROR(VLOOKUP(C45,Teilnehmer[],2,FALSE),"")</f>
        <v/>
      </c>
      <c r="E45" s="140" t="str">
        <f>IFERROR(VLOOKUP(C45,Teilnehmer[],3,FALSE),"")</f>
        <v/>
      </c>
      <c r="F45" s="147" t="str">
        <f>IFERROR(VLOOKUP(C45,Teilnehmer[],5,FALSE),"")</f>
        <v/>
      </c>
      <c r="G45" s="133" t="str">
        <f>IFERROR(VLOOKUP(C45,Teilnehmer[],10,FALSE),"")</f>
        <v/>
      </c>
      <c r="H45" s="119">
        <v>2</v>
      </c>
    </row>
    <row r="46" spans="1:8" s="19" customFormat="1" ht="16.5" customHeight="1" thickBot="1" x14ac:dyDescent="0.35">
      <c r="A46" s="141"/>
      <c r="B46" s="135">
        <v>2</v>
      </c>
      <c r="C46" s="136" t="str">
        <f>IFERROR(INDEX(Teilnehmer[LfNr],_xlfn.AGGREGATE(15,6,ROW(Teilnehmer[LfNr])/((Teilnehmer[Paarkür]=A45)),ROW()-44)-1,1),"")</f>
        <v/>
      </c>
      <c r="D46" s="136" t="str">
        <f>IFERROR(VLOOKUP(C46,Teilnehmer[],2,FALSE),"")</f>
        <v/>
      </c>
      <c r="E46" s="136" t="str">
        <f>IFERROR(VLOOKUP(C46,Teilnehmer[],3,FALSE),"")</f>
        <v/>
      </c>
      <c r="F46" s="144" t="str">
        <f>IFERROR(VLOOKUP(C46,Teilnehmer[],5,FALSE),"")</f>
        <v/>
      </c>
      <c r="G46" s="137" t="str">
        <f>IFERROR(VLOOKUP(C46,Teilnehmer[],10,FALSE),"")</f>
        <v/>
      </c>
      <c r="H46" s="119"/>
    </row>
  </sheetData>
  <sheetProtection algorithmName="SHA-512" hashValue="U9+1zSXkoRohNE2bPm4/UF+plFe1Hwt7C115POWV3/cJ4vMoWfWXadn04OrIMPxUUBa127yp91dg233rhWUfQA==" saltValue="WMKZB9ygQOfBxBW+iRQjiA==" spinCount="100000" sheet="1" selectLockedCells="1"/>
  <dataValidations count="1">
    <dataValidation showDropDown="1" showInputMessage="1" showErrorMessage="1" sqref="C5:G46" xr:uid="{00000000-0002-0000-0500-000000000000}"/>
  </dataValidations>
  <pageMargins left="0.70866141732283472" right="0.70866141732283472" top="0.78740157480314965" bottom="0.62992125984251968" header="0.31496062992125984" footer="0.31496062992125984"/>
  <pageSetup paperSize="9" orientation="landscape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2">
    <tabColor theme="0" tint="-0.249977111117893"/>
  </sheetPr>
  <dimension ref="A1:M93"/>
  <sheetViews>
    <sheetView showGridLines="0" showRowColHeaders="0" zoomScaleNormal="100" workbookViewId="0">
      <selection activeCell="C5" sqref="C5:E5"/>
    </sheetView>
  </sheetViews>
  <sheetFormatPr baseColWidth="10" defaultColWidth="11.5546875" defaultRowHeight="14.4" x14ac:dyDescent="0.3"/>
  <cols>
    <col min="1" max="1" width="7.33203125" style="76" customWidth="1"/>
    <col min="2" max="2" width="7.6640625" style="76" customWidth="1"/>
    <col min="3" max="4" width="20.6640625" style="76" customWidth="1"/>
    <col min="5" max="5" width="9.5546875" style="76" customWidth="1"/>
    <col min="6" max="6" width="10.6640625" style="76" customWidth="1"/>
    <col min="7" max="7" width="7.33203125" style="76" customWidth="1"/>
    <col min="8" max="8" width="7.6640625" style="76" customWidth="1"/>
    <col min="9" max="10" width="20.6640625" style="76" customWidth="1"/>
    <col min="11" max="11" width="11.5546875" style="76"/>
    <col min="12" max="12" width="18.109375" style="76" customWidth="1"/>
    <col min="13" max="16384" width="11.5546875" style="76"/>
  </cols>
  <sheetData>
    <row r="1" spans="1:13" ht="40.200000000000003" customHeight="1" x14ac:dyDescent="0.5">
      <c r="A1" s="273" t="str">
        <f>Deckblatt!B1</f>
        <v>Süddeutsche Meisterschaft Freestyle</v>
      </c>
      <c r="C1" s="77"/>
      <c r="D1" s="77"/>
      <c r="G1" s="78"/>
      <c r="H1" s="78"/>
      <c r="I1" s="78"/>
      <c r="J1" s="78"/>
      <c r="K1" s="78"/>
    </row>
    <row r="2" spans="1:13" ht="19.95" customHeight="1" x14ac:dyDescent="0.4">
      <c r="A2" s="155" t="s">
        <v>51</v>
      </c>
      <c r="C2" s="79"/>
      <c r="D2" s="277">
        <f>Meldung!W1</f>
        <v>43911</v>
      </c>
      <c r="E2" s="320">
        <f>D2+1</f>
        <v>43912</v>
      </c>
      <c r="F2" s="320"/>
      <c r="G2" s="80"/>
      <c r="H2" s="80"/>
      <c r="I2" s="81"/>
      <c r="J2" s="80"/>
      <c r="K2" s="81"/>
    </row>
    <row r="3" spans="1:13" ht="15" customHeight="1" thickBot="1" x14ac:dyDescent="0.4">
      <c r="A3" s="82"/>
      <c r="B3" s="82"/>
      <c r="C3" s="82"/>
      <c r="E3" s="82"/>
      <c r="F3" s="79"/>
      <c r="G3" s="80"/>
      <c r="H3" s="80"/>
      <c r="I3" s="80"/>
      <c r="J3" s="83"/>
      <c r="K3" s="80"/>
    </row>
    <row r="4" spans="1:13" ht="19.2" thickTop="1" thickBot="1" x14ac:dyDescent="0.4">
      <c r="A4" s="84" t="s">
        <v>9</v>
      </c>
      <c r="B4" s="85"/>
      <c r="C4" s="289">
        <f>Deckblatt!C8</f>
        <v>0</v>
      </c>
      <c r="D4" s="85"/>
      <c r="E4" s="75" t="s">
        <v>22</v>
      </c>
      <c r="F4" s="79"/>
    </row>
    <row r="5" spans="1:13" s="86" customFormat="1" ht="25.2" customHeight="1" thickBot="1" x14ac:dyDescent="0.35">
      <c r="A5" s="87" t="s">
        <v>52</v>
      </c>
      <c r="B5" s="40"/>
      <c r="C5" s="326"/>
      <c r="D5" s="327"/>
      <c r="E5" s="328"/>
      <c r="F5" s="88"/>
      <c r="H5" s="283"/>
      <c r="M5" s="90"/>
    </row>
    <row r="6" spans="1:13" ht="19.95" customHeight="1" x14ac:dyDescent="0.3">
      <c r="A6" s="41" t="s">
        <v>46</v>
      </c>
      <c r="B6" s="63" t="s">
        <v>53</v>
      </c>
      <c r="C6" s="64" t="s">
        <v>3</v>
      </c>
      <c r="D6" s="64" t="s">
        <v>4</v>
      </c>
      <c r="E6" s="65" t="s">
        <v>47</v>
      </c>
      <c r="F6" s="91"/>
      <c r="L6" s="92"/>
    </row>
    <row r="7" spans="1:13" ht="15.6" customHeight="1" x14ac:dyDescent="0.3">
      <c r="A7" s="93">
        <v>1</v>
      </c>
      <c r="B7" s="284" t="str">
        <f>IFERROR(INDEX(Teilnehmer[LfNr],_xlfn.AGGREGATE(15,6,ROW(Teilnehmer[LfNr])/((Teilnehmer[Kleingruppe]=$E$4)),ROW()-6)-1,1),"")</f>
        <v/>
      </c>
      <c r="C7" s="95" t="str">
        <f>IFERROR(VLOOKUP(B7,Teilnehmer[],2,FALSE),"")</f>
        <v/>
      </c>
      <c r="D7" s="95" t="str">
        <f>IFERROR(VLOOKUP(B7,Teilnehmer[],3,FALSE),"")</f>
        <v/>
      </c>
      <c r="E7" s="96" t="str">
        <f>IFERROR(VLOOKUP(B7,Teilnehmer[],5,FALSE),"")</f>
        <v/>
      </c>
      <c r="F7" s="91"/>
      <c r="L7" s="92"/>
    </row>
    <row r="8" spans="1:13" ht="15.6" customHeight="1" x14ac:dyDescent="0.3">
      <c r="A8" s="93">
        <f>A7+1</f>
        <v>2</v>
      </c>
      <c r="B8" s="94" t="str">
        <f>IFERROR(INDEX(Teilnehmer[LfNr],_xlfn.AGGREGATE(15,6,ROW(Teilnehmer[LfNr])/((Teilnehmer[Kleingruppe]=$E$4)),ROW()-6)-1,1),"")</f>
        <v/>
      </c>
      <c r="C8" s="95" t="str">
        <f>IFERROR(VLOOKUP(B8,Teilnehmer[],2,FALSE),"")</f>
        <v/>
      </c>
      <c r="D8" s="95" t="str">
        <f>IFERROR(VLOOKUP(B8,Teilnehmer[],3,FALSE),"")</f>
        <v/>
      </c>
      <c r="E8" s="96" t="str">
        <f>IFERROR(VLOOKUP(B8,Teilnehmer[],5,FALSE),"")</f>
        <v/>
      </c>
      <c r="F8" s="91"/>
      <c r="L8" s="92"/>
    </row>
    <row r="9" spans="1:13" ht="15.6" customHeight="1" x14ac:dyDescent="0.3">
      <c r="A9" s="93">
        <f t="shared" ref="A9:A14" si="0">A8+1</f>
        <v>3</v>
      </c>
      <c r="B9" s="94" t="str">
        <f>IFERROR(INDEX(Teilnehmer[LfNr],_xlfn.AGGREGATE(15,6,ROW(Teilnehmer[LfNr])/((Teilnehmer[Kleingruppe]=$E$4)),ROW()-6)-1,1),"")</f>
        <v/>
      </c>
      <c r="C9" s="95" t="str">
        <f>IFERROR(VLOOKUP(B9,Teilnehmer[],2,FALSE),"")</f>
        <v/>
      </c>
      <c r="D9" s="95" t="str">
        <f>IFERROR(VLOOKUP(B9,Teilnehmer[],3,FALSE),"")</f>
        <v/>
      </c>
      <c r="E9" s="96" t="str">
        <f>IFERROR(VLOOKUP(B9,Teilnehmer[],5,FALSE),"")</f>
        <v/>
      </c>
      <c r="F9" s="91"/>
      <c r="L9" s="92"/>
    </row>
    <row r="10" spans="1:13" ht="15.6" customHeight="1" x14ac:dyDescent="0.3">
      <c r="A10" s="93">
        <f t="shared" si="0"/>
        <v>4</v>
      </c>
      <c r="B10" s="94" t="str">
        <f>IFERROR(INDEX(Teilnehmer[LfNr],_xlfn.AGGREGATE(15,6,ROW(Teilnehmer[LfNr])/((Teilnehmer[Kleingruppe]=$E$4)),ROW()-6)-1,1),"")</f>
        <v/>
      </c>
      <c r="C10" s="95" t="str">
        <f>IFERROR(VLOOKUP(B10,Teilnehmer[],2,FALSE),"")</f>
        <v/>
      </c>
      <c r="D10" s="95" t="str">
        <f>IFERROR(VLOOKUP(B10,Teilnehmer[],3,FALSE),"")</f>
        <v/>
      </c>
      <c r="E10" s="96" t="str">
        <f>IFERROR(VLOOKUP(B10,Teilnehmer[],5,FALSE),"")</f>
        <v/>
      </c>
      <c r="F10" s="91"/>
      <c r="L10" s="92"/>
    </row>
    <row r="11" spans="1:13" ht="15.6" customHeight="1" x14ac:dyDescent="0.3">
      <c r="A11" s="93">
        <f t="shared" si="0"/>
        <v>5</v>
      </c>
      <c r="B11" s="94" t="str">
        <f>IFERROR(INDEX(Teilnehmer[LfNr],_xlfn.AGGREGATE(15,6,ROW(Teilnehmer[LfNr])/((Teilnehmer[Kleingruppe]=$E$4)),ROW()-6)-1,1),"")</f>
        <v/>
      </c>
      <c r="C11" s="95" t="str">
        <f>IFERROR(VLOOKUP(B11,Teilnehmer[],2,FALSE),"")</f>
        <v/>
      </c>
      <c r="D11" s="95" t="str">
        <f>IFERROR(VLOOKUP(B11,Teilnehmer[],3,FALSE),"")</f>
        <v/>
      </c>
      <c r="E11" s="96" t="str">
        <f>IFERROR(VLOOKUP(B11,Teilnehmer[],5,FALSE),"")</f>
        <v/>
      </c>
      <c r="F11" s="91"/>
      <c r="L11" s="92"/>
    </row>
    <row r="12" spans="1:13" ht="15.6" customHeight="1" x14ac:dyDescent="0.3">
      <c r="A12" s="93">
        <f t="shared" si="0"/>
        <v>6</v>
      </c>
      <c r="B12" s="94" t="str">
        <f>IFERROR(INDEX(Teilnehmer[LfNr],_xlfn.AGGREGATE(15,6,ROW(Teilnehmer[LfNr])/((Teilnehmer[Kleingruppe]=$E$4)),ROW()-6)-1,1),"")</f>
        <v/>
      </c>
      <c r="C12" s="95" t="str">
        <f>IFERROR(VLOOKUP(B12,Teilnehmer[],2,FALSE),"")</f>
        <v/>
      </c>
      <c r="D12" s="95" t="str">
        <f>IFERROR(VLOOKUP(B12,Teilnehmer[],3,FALSE),"")</f>
        <v/>
      </c>
      <c r="E12" s="96" t="str">
        <f>IFERROR(VLOOKUP(B12,Teilnehmer[],5,FALSE),"")</f>
        <v/>
      </c>
      <c r="F12" s="91"/>
      <c r="L12" s="92"/>
    </row>
    <row r="13" spans="1:13" ht="15.6" customHeight="1" x14ac:dyDescent="0.3">
      <c r="A13" s="93">
        <f t="shared" si="0"/>
        <v>7</v>
      </c>
      <c r="B13" s="94" t="str">
        <f>IFERROR(INDEX(Teilnehmer[LfNr],_xlfn.AGGREGATE(15,6,ROW(Teilnehmer[LfNr])/((Teilnehmer[Kleingruppe]=$E$4)),ROW()-6)-1,1),"")</f>
        <v/>
      </c>
      <c r="C13" s="95" t="str">
        <f>IFERROR(VLOOKUP(B13,Teilnehmer[],2,FALSE),"")</f>
        <v/>
      </c>
      <c r="D13" s="95" t="str">
        <f>IFERROR(VLOOKUP(B13,Teilnehmer[],3,FALSE),"")</f>
        <v/>
      </c>
      <c r="E13" s="96" t="str">
        <f>IFERROR(VLOOKUP(B13,Teilnehmer[],5,FALSE),"")</f>
        <v/>
      </c>
      <c r="F13" s="91"/>
      <c r="L13" s="92"/>
    </row>
    <row r="14" spans="1:13" ht="15.6" customHeight="1" x14ac:dyDescent="0.3">
      <c r="A14" s="93">
        <f t="shared" si="0"/>
        <v>8</v>
      </c>
      <c r="B14" s="94" t="str">
        <f>IFERROR(INDEX(Teilnehmer[LfNr],_xlfn.AGGREGATE(15,6,ROW(Teilnehmer[LfNr])/((Teilnehmer[Kleingruppe]=$E$4)),ROW()-6)-1,1),"")</f>
        <v/>
      </c>
      <c r="C14" s="95" t="str">
        <f>IFERROR(VLOOKUP(B14,Teilnehmer[],2,FALSE),"")</f>
        <v/>
      </c>
      <c r="D14" s="95" t="str">
        <f>IFERROR(VLOOKUP(B14,Teilnehmer[],3,FALSE),"")</f>
        <v/>
      </c>
      <c r="E14" s="96" t="str">
        <f>IFERROR(VLOOKUP(B14,Teilnehmer[],5,FALSE),"")</f>
        <v/>
      </c>
      <c r="F14" s="91"/>
      <c r="L14" s="92"/>
    </row>
    <row r="15" spans="1:13" ht="15.6" customHeight="1" x14ac:dyDescent="0.3">
      <c r="A15" s="93" t="s">
        <v>54</v>
      </c>
      <c r="B15" s="94" t="str">
        <f>IFERROR(INDEX(Teilnehmer[LfNr],_xlfn.AGGREGATE(15,6,ROW(Teilnehmer[LfNr])/((Teilnehmer[Kleingruppe]=$E$4)),ROW()-6)-1,1),"")</f>
        <v/>
      </c>
      <c r="C15" s="95" t="str">
        <f>IFERROR(VLOOKUP(B15,Teilnehmer[],2,FALSE),"")</f>
        <v/>
      </c>
      <c r="D15" s="95" t="str">
        <f>IFERROR(VLOOKUP(B15,Teilnehmer[],3,FALSE),"")</f>
        <v/>
      </c>
      <c r="E15" s="96" t="str">
        <f>IFERROR(VLOOKUP(B15,Teilnehmer[],5,FALSE),"")</f>
        <v/>
      </c>
      <c r="F15" s="91"/>
      <c r="L15" s="92"/>
    </row>
    <row r="16" spans="1:13" ht="15.6" customHeight="1" x14ac:dyDescent="0.3">
      <c r="A16" s="93" t="s">
        <v>54</v>
      </c>
      <c r="B16" s="311" t="str">
        <f>IFERROR(INDEX(Teilnehmer[LfNr],_xlfn.AGGREGATE(15,6,ROW(Teilnehmer[LfNr])/((Teilnehmer[Kleingruppe]=$E$4)),ROW()-6)-1,1),"")</f>
        <v/>
      </c>
      <c r="C16" s="308" t="str">
        <f>IFERROR(VLOOKUP(B16,Teilnehmer[],2,FALSE),"")</f>
        <v/>
      </c>
      <c r="D16" s="308" t="str">
        <f>IFERROR(VLOOKUP(B16,Teilnehmer[],3,FALSE),"")</f>
        <v/>
      </c>
      <c r="E16" s="175" t="str">
        <f>IFERROR(VLOOKUP(B16,Teilnehmer[],5,FALSE),"")</f>
        <v/>
      </c>
      <c r="F16" s="91"/>
      <c r="L16" s="92"/>
    </row>
    <row r="17" spans="1:12" ht="15.6" customHeight="1" thickBot="1" x14ac:dyDescent="0.35">
      <c r="A17" s="97" t="s">
        <v>54</v>
      </c>
      <c r="B17" s="98" t="str">
        <f>IFERROR(INDEX(Teilnehmer[LfNr],_xlfn.AGGREGATE(15,6,ROW(Teilnehmer[LfNr])/((Teilnehmer[Kleingruppe]=$E$4)),ROW()-6)-1,1),"")</f>
        <v/>
      </c>
      <c r="C17" s="99" t="str">
        <f>IFERROR(VLOOKUP(B17,Teilnehmer[],2,FALSE),"")</f>
        <v/>
      </c>
      <c r="D17" s="99" t="str">
        <f>IFERROR(VLOOKUP(B17,Teilnehmer[],3,FALSE),"")</f>
        <v/>
      </c>
      <c r="E17" s="100" t="str">
        <f>IFERROR(VLOOKUP(B17,Teilnehmer[],5,FALSE),"")</f>
        <v/>
      </c>
      <c r="F17" s="91"/>
      <c r="L17" s="92"/>
    </row>
    <row r="18" spans="1:12" ht="15.6" thickTop="1" thickBot="1" x14ac:dyDescent="0.35"/>
    <row r="19" spans="1:12" ht="19.2" thickTop="1" thickBot="1" x14ac:dyDescent="0.4">
      <c r="A19" s="84" t="s">
        <v>9</v>
      </c>
      <c r="B19" s="85"/>
      <c r="C19" s="289">
        <f>Deckblatt!C8</f>
        <v>0</v>
      </c>
      <c r="D19" s="85"/>
      <c r="E19" s="75" t="s">
        <v>23</v>
      </c>
      <c r="F19" s="79"/>
    </row>
    <row r="20" spans="1:12" ht="25.2" customHeight="1" thickTop="1" thickBot="1" x14ac:dyDescent="0.35">
      <c r="A20" s="89" t="s">
        <v>52</v>
      </c>
      <c r="B20" s="66"/>
      <c r="C20" s="323"/>
      <c r="D20" s="324"/>
      <c r="E20" s="325"/>
      <c r="F20" s="88"/>
    </row>
    <row r="21" spans="1:12" ht="19.95" customHeight="1" x14ac:dyDescent="0.3">
      <c r="A21" s="41" t="s">
        <v>46</v>
      </c>
      <c r="B21" s="63" t="s">
        <v>53</v>
      </c>
      <c r="C21" s="64" t="s">
        <v>3</v>
      </c>
      <c r="D21" s="64" t="s">
        <v>4</v>
      </c>
      <c r="E21" s="65" t="s">
        <v>47</v>
      </c>
      <c r="F21" s="91"/>
    </row>
    <row r="22" spans="1:12" ht="15.6" customHeight="1" x14ac:dyDescent="0.3">
      <c r="A22" s="93">
        <v>1</v>
      </c>
      <c r="B22" s="94" t="str">
        <f>IFERROR(INDEX(Teilnehmer[LfNr],_xlfn.AGGREGATE(15,6,ROW(Teilnehmer[LfNr])/((Teilnehmer[Kleingruppe]=$E$19)),ROW()-21)-1,1),"")</f>
        <v/>
      </c>
      <c r="C22" s="95" t="str">
        <f>IFERROR(VLOOKUP(B22,Teilnehmer[],2,FALSE),"")</f>
        <v/>
      </c>
      <c r="D22" s="95" t="str">
        <f>IFERROR(VLOOKUP(B22,Teilnehmer[],3,FALSE),"")</f>
        <v/>
      </c>
      <c r="E22" s="96" t="str">
        <f>IFERROR(VLOOKUP(B22,Teilnehmer[],5,FALSE),"")</f>
        <v/>
      </c>
      <c r="F22" s="91"/>
    </row>
    <row r="23" spans="1:12" ht="15.6" customHeight="1" x14ac:dyDescent="0.3">
      <c r="A23" s="93">
        <f>A22+1</f>
        <v>2</v>
      </c>
      <c r="B23" s="94" t="str">
        <f>IFERROR(INDEX(Teilnehmer[LfNr],_xlfn.AGGREGATE(15,6,ROW(Teilnehmer[LfNr])/((Teilnehmer[Kleingruppe]=$E$19)),ROW()-21)-1,1),"")</f>
        <v/>
      </c>
      <c r="C23" s="95" t="str">
        <f>IFERROR(VLOOKUP(B23,Teilnehmer[],2,FALSE),"")</f>
        <v/>
      </c>
      <c r="D23" s="95" t="str">
        <f>IFERROR(VLOOKUP(B23,Teilnehmer[],3,FALSE),"")</f>
        <v/>
      </c>
      <c r="E23" s="96" t="str">
        <f>IFERROR(VLOOKUP(B23,Teilnehmer[],5,FALSE),"")</f>
        <v/>
      </c>
      <c r="F23" s="91"/>
    </row>
    <row r="24" spans="1:12" ht="15.6" customHeight="1" x14ac:dyDescent="0.3">
      <c r="A24" s="93">
        <f t="shared" ref="A24:A29" si="1">A23+1</f>
        <v>3</v>
      </c>
      <c r="B24" s="94" t="str">
        <f>IFERROR(INDEX(Teilnehmer[LfNr],_xlfn.AGGREGATE(15,6,ROW(Teilnehmer[LfNr])/((Teilnehmer[Kleingruppe]=$E$19)),ROW()-21)-1,1),"")</f>
        <v/>
      </c>
      <c r="C24" s="95" t="str">
        <f>IFERROR(VLOOKUP(B24,Teilnehmer[],2,FALSE),"")</f>
        <v/>
      </c>
      <c r="D24" s="95" t="str">
        <f>IFERROR(VLOOKUP(B24,Teilnehmer[],3,FALSE),"")</f>
        <v/>
      </c>
      <c r="E24" s="96" t="str">
        <f>IFERROR(VLOOKUP(B24,Teilnehmer[],5,FALSE),"")</f>
        <v/>
      </c>
      <c r="F24" s="91"/>
    </row>
    <row r="25" spans="1:12" ht="15.6" customHeight="1" x14ac:dyDescent="0.3">
      <c r="A25" s="93">
        <f t="shared" si="1"/>
        <v>4</v>
      </c>
      <c r="B25" s="94" t="str">
        <f>IFERROR(INDEX(Teilnehmer[LfNr],_xlfn.AGGREGATE(15,6,ROW(Teilnehmer[LfNr])/((Teilnehmer[Kleingruppe]=$E$19)),ROW()-21)-1,1),"")</f>
        <v/>
      </c>
      <c r="C25" s="95" t="str">
        <f>IFERROR(VLOOKUP(B25,Teilnehmer[],2,FALSE),"")</f>
        <v/>
      </c>
      <c r="D25" s="95" t="str">
        <f>IFERROR(VLOOKUP(B25,Teilnehmer[],3,FALSE),"")</f>
        <v/>
      </c>
      <c r="E25" s="96" t="str">
        <f>IFERROR(VLOOKUP(B25,Teilnehmer[],5,FALSE),"")</f>
        <v/>
      </c>
      <c r="F25" s="91"/>
    </row>
    <row r="26" spans="1:12" ht="15.6" customHeight="1" x14ac:dyDescent="0.3">
      <c r="A26" s="93">
        <f t="shared" si="1"/>
        <v>5</v>
      </c>
      <c r="B26" s="94" t="str">
        <f>IFERROR(INDEX(Teilnehmer[LfNr],_xlfn.AGGREGATE(15,6,ROW(Teilnehmer[LfNr])/((Teilnehmer[Kleingruppe]=$E$19)),ROW()-21)-1,1),"")</f>
        <v/>
      </c>
      <c r="C26" s="95" t="str">
        <f>IFERROR(VLOOKUP(B26,Teilnehmer[],2,FALSE),"")</f>
        <v/>
      </c>
      <c r="D26" s="95" t="str">
        <f>IFERROR(VLOOKUP(B26,Teilnehmer[],3,FALSE),"")</f>
        <v/>
      </c>
      <c r="E26" s="96" t="str">
        <f>IFERROR(VLOOKUP(B26,Teilnehmer[],5,FALSE),"")</f>
        <v/>
      </c>
      <c r="F26" s="91"/>
    </row>
    <row r="27" spans="1:12" ht="15.6" customHeight="1" x14ac:dyDescent="0.3">
      <c r="A27" s="93">
        <f t="shared" si="1"/>
        <v>6</v>
      </c>
      <c r="B27" s="94" t="str">
        <f>IFERROR(INDEX(Teilnehmer[LfNr],_xlfn.AGGREGATE(15,6,ROW(Teilnehmer[LfNr])/((Teilnehmer[Kleingruppe]=$E$19)),ROW()-21)-1,1),"")</f>
        <v/>
      </c>
      <c r="C27" s="95" t="str">
        <f>IFERROR(VLOOKUP(B27,Teilnehmer[],2,FALSE),"")</f>
        <v/>
      </c>
      <c r="D27" s="95" t="str">
        <f>IFERROR(VLOOKUP(B27,Teilnehmer[],3,FALSE),"")</f>
        <v/>
      </c>
      <c r="E27" s="96" t="str">
        <f>IFERROR(VLOOKUP(B27,Teilnehmer[],5,FALSE),"")</f>
        <v/>
      </c>
      <c r="F27" s="91"/>
    </row>
    <row r="28" spans="1:12" ht="15.6" customHeight="1" x14ac:dyDescent="0.3">
      <c r="A28" s="93">
        <f t="shared" si="1"/>
        <v>7</v>
      </c>
      <c r="B28" s="94" t="str">
        <f>IFERROR(INDEX(Teilnehmer[LfNr],_xlfn.AGGREGATE(15,6,ROW(Teilnehmer[LfNr])/((Teilnehmer[Kleingruppe]=$E$19)),ROW()-21)-1,1),"")</f>
        <v/>
      </c>
      <c r="C28" s="95" t="str">
        <f>IFERROR(VLOOKUP(B28,Teilnehmer[],2,FALSE),"")</f>
        <v/>
      </c>
      <c r="D28" s="95" t="str">
        <f>IFERROR(VLOOKUP(B28,Teilnehmer[],3,FALSE),"")</f>
        <v/>
      </c>
      <c r="E28" s="96" t="str">
        <f>IFERROR(VLOOKUP(B28,Teilnehmer[],5,FALSE),"")</f>
        <v/>
      </c>
      <c r="F28" s="91"/>
    </row>
    <row r="29" spans="1:12" ht="15.6" customHeight="1" x14ac:dyDescent="0.3">
      <c r="A29" s="93">
        <f t="shared" si="1"/>
        <v>8</v>
      </c>
      <c r="B29" s="94" t="str">
        <f>IFERROR(INDEX(Teilnehmer[LfNr],_xlfn.AGGREGATE(15,6,ROW(Teilnehmer[LfNr])/((Teilnehmer[Kleingruppe]=$E$19)),ROW()-21)-1,1),"")</f>
        <v/>
      </c>
      <c r="C29" s="95" t="str">
        <f>IFERROR(VLOOKUP(B29,Teilnehmer[],2,FALSE),"")</f>
        <v/>
      </c>
      <c r="D29" s="95" t="str">
        <f>IFERROR(VLOOKUP(B29,Teilnehmer[],3,FALSE),"")</f>
        <v/>
      </c>
      <c r="E29" s="96" t="str">
        <f>IFERROR(VLOOKUP(B29,Teilnehmer[],5,FALSE),"")</f>
        <v/>
      </c>
      <c r="F29" s="91"/>
    </row>
    <row r="30" spans="1:12" ht="15.6" customHeight="1" x14ac:dyDescent="0.3">
      <c r="A30" s="93" t="s">
        <v>54</v>
      </c>
      <c r="B30" s="94" t="str">
        <f>IFERROR(INDEX(Teilnehmer[LfNr],_xlfn.AGGREGATE(15,6,ROW(Teilnehmer[LfNr])/((Teilnehmer[Kleingruppe]=$E$19)),ROW()-21)-1,1),"")</f>
        <v/>
      </c>
      <c r="C30" s="95" t="str">
        <f>IFERROR(VLOOKUP(B30,Teilnehmer[],2,FALSE),"")</f>
        <v/>
      </c>
      <c r="D30" s="95" t="str">
        <f>IFERROR(VLOOKUP(B30,Teilnehmer[],3,FALSE),"")</f>
        <v/>
      </c>
      <c r="E30" s="96" t="str">
        <f>IFERROR(VLOOKUP(B30,Teilnehmer[],5,FALSE),"")</f>
        <v/>
      </c>
      <c r="F30" s="91"/>
    </row>
    <row r="31" spans="1:12" ht="15.6" customHeight="1" x14ac:dyDescent="0.3">
      <c r="A31" s="93" t="s">
        <v>54</v>
      </c>
      <c r="B31" s="94" t="str">
        <f>IFERROR(INDEX(Teilnehmer[LfNr],_xlfn.AGGREGATE(15,6,ROW(Teilnehmer[LfNr])/((Teilnehmer[Kleingruppe]=$E$19)),ROW()-21)-1,1),"")</f>
        <v/>
      </c>
      <c r="C31" s="308" t="str">
        <f>IFERROR(VLOOKUP(B31,Teilnehmer[],2,FALSE),"")</f>
        <v/>
      </c>
      <c r="D31" s="308" t="str">
        <f>IFERROR(VLOOKUP(B31,Teilnehmer[],3,FALSE),"")</f>
        <v/>
      </c>
      <c r="E31" s="175" t="str">
        <f>IFERROR(VLOOKUP(B31,Teilnehmer[],5,FALSE),"")</f>
        <v/>
      </c>
      <c r="F31" s="91"/>
    </row>
    <row r="32" spans="1:12" ht="15.6" customHeight="1" thickBot="1" x14ac:dyDescent="0.35">
      <c r="A32" s="97" t="s">
        <v>54</v>
      </c>
      <c r="B32" s="307" t="str">
        <f>IFERROR(INDEX(Teilnehmer[LfNr],_xlfn.AGGREGATE(15,6,ROW(Teilnehmer[LfNr])/((Teilnehmer[Kleingruppe]=$E$19)),ROW()-21)-1,1),"")</f>
        <v/>
      </c>
      <c r="C32" s="99" t="str">
        <f>IFERROR(VLOOKUP(B32,Teilnehmer[],2,FALSE),"")</f>
        <v/>
      </c>
      <c r="D32" s="99" t="str">
        <f>IFERROR(VLOOKUP(B32,Teilnehmer[],3,FALSE),"")</f>
        <v/>
      </c>
      <c r="E32" s="100" t="str">
        <f>IFERROR(VLOOKUP(B32,Teilnehmer[],5,FALSE),"")</f>
        <v/>
      </c>
      <c r="F32" s="91"/>
    </row>
    <row r="33" spans="1:6" ht="16.8" thickTop="1" thickBot="1" x14ac:dyDescent="0.35">
      <c r="A33" s="101"/>
      <c r="B33" s="116"/>
      <c r="C33" s="13"/>
      <c r="D33" s="13"/>
      <c r="E33" s="13"/>
      <c r="F33" s="102"/>
    </row>
    <row r="34" spans="1:6" ht="19.2" customHeight="1" thickTop="1" thickBot="1" x14ac:dyDescent="0.35">
      <c r="A34" s="84" t="s">
        <v>9</v>
      </c>
      <c r="B34" s="85"/>
      <c r="C34" s="289">
        <f>Deckblatt!C8</f>
        <v>0</v>
      </c>
      <c r="D34" s="85"/>
      <c r="E34" s="75" t="s">
        <v>39</v>
      </c>
      <c r="F34" s="102"/>
    </row>
    <row r="35" spans="1:6" ht="25.2" customHeight="1" thickBot="1" x14ac:dyDescent="0.35">
      <c r="A35" s="87" t="s">
        <v>52</v>
      </c>
      <c r="B35" s="40"/>
      <c r="C35" s="323"/>
      <c r="D35" s="324"/>
      <c r="E35" s="325"/>
      <c r="F35" s="102"/>
    </row>
    <row r="36" spans="1:6" ht="19.95" customHeight="1" x14ac:dyDescent="0.3">
      <c r="A36" s="41" t="s">
        <v>46</v>
      </c>
      <c r="B36" s="63" t="s">
        <v>53</v>
      </c>
      <c r="C36" s="64" t="s">
        <v>3</v>
      </c>
      <c r="D36" s="64" t="s">
        <v>4</v>
      </c>
      <c r="E36" s="65" t="s">
        <v>47</v>
      </c>
      <c r="F36" s="102"/>
    </row>
    <row r="37" spans="1:6" ht="15.6" customHeight="1" x14ac:dyDescent="0.3">
      <c r="A37" s="93">
        <v>1</v>
      </c>
      <c r="B37" s="94" t="str">
        <f>IFERROR(INDEX(Teilnehmer[LfNr],_xlfn.AGGREGATE(15,6,ROW(Teilnehmer[LfNr])/((Teilnehmer[Kleingruppe]=$E$34)),ROW()-36)-1,1),"")</f>
        <v/>
      </c>
      <c r="C37" s="95" t="str">
        <f>IFERROR(VLOOKUP(B37,Teilnehmer[],2,FALSE),"")</f>
        <v/>
      </c>
      <c r="D37" s="95" t="str">
        <f>IFERROR(VLOOKUP(B37,Teilnehmer[],3,FALSE),"")</f>
        <v/>
      </c>
      <c r="E37" s="96" t="str">
        <f>IFERROR(VLOOKUP(B37,Teilnehmer[],5,FALSE),"")</f>
        <v/>
      </c>
      <c r="F37" s="101"/>
    </row>
    <row r="38" spans="1:6" ht="15.6" customHeight="1" x14ac:dyDescent="0.3">
      <c r="A38" s="93">
        <f>A37+1</f>
        <v>2</v>
      </c>
      <c r="B38" s="94" t="str">
        <f>IFERROR(INDEX(Teilnehmer[LfNr],_xlfn.AGGREGATE(15,6,ROW(Teilnehmer[LfNr])/((Teilnehmer[Kleingruppe]=$E$34)),ROW()-36)-1,1),"")</f>
        <v/>
      </c>
      <c r="C38" s="95" t="str">
        <f>IFERROR(VLOOKUP(B38,Teilnehmer[],2,FALSE),"")</f>
        <v/>
      </c>
      <c r="D38" s="95" t="str">
        <f>IFERROR(VLOOKUP(B38,Teilnehmer[],3,FALSE),"")</f>
        <v/>
      </c>
      <c r="E38" s="96" t="str">
        <f>IFERROR(VLOOKUP(B38,Teilnehmer[],5,FALSE),"")</f>
        <v/>
      </c>
    </row>
    <row r="39" spans="1:6" ht="15.6" customHeight="1" x14ac:dyDescent="0.3">
      <c r="A39" s="93">
        <f t="shared" ref="A39:A44" si="2">A38+1</f>
        <v>3</v>
      </c>
      <c r="B39" s="94" t="str">
        <f>IFERROR(INDEX(Teilnehmer[LfNr],_xlfn.AGGREGATE(15,6,ROW(Teilnehmer[LfNr])/((Teilnehmer[Kleingruppe]=$E$34)),ROW()-36)-1,1),"")</f>
        <v/>
      </c>
      <c r="C39" s="95" t="str">
        <f>IFERROR(VLOOKUP(B39,Teilnehmer[],2,FALSE),"")</f>
        <v/>
      </c>
      <c r="D39" s="95" t="str">
        <f>IFERROR(VLOOKUP(B39,Teilnehmer[],3,FALSE),"")</f>
        <v/>
      </c>
      <c r="E39" s="96" t="str">
        <f>IFERROR(VLOOKUP(B39,Teilnehmer[],5,FALSE),"")</f>
        <v/>
      </c>
    </row>
    <row r="40" spans="1:6" ht="15.6" customHeight="1" x14ac:dyDescent="0.3">
      <c r="A40" s="93">
        <f t="shared" si="2"/>
        <v>4</v>
      </c>
      <c r="B40" s="94" t="str">
        <f>IFERROR(INDEX(Teilnehmer[LfNr],_xlfn.AGGREGATE(15,6,ROW(Teilnehmer[LfNr])/((Teilnehmer[Kleingruppe]=$E$34)),ROW()-36)-1,1),"")</f>
        <v/>
      </c>
      <c r="C40" s="95" t="str">
        <f>IFERROR(VLOOKUP(B40,Teilnehmer[],2,FALSE),"")</f>
        <v/>
      </c>
      <c r="D40" s="95" t="str">
        <f>IFERROR(VLOOKUP(B40,Teilnehmer[],3,FALSE),"")</f>
        <v/>
      </c>
      <c r="E40" s="96" t="str">
        <f>IFERROR(VLOOKUP(B40,Teilnehmer[],5,FALSE),"")</f>
        <v/>
      </c>
    </row>
    <row r="41" spans="1:6" ht="15.6" customHeight="1" x14ac:dyDescent="0.3">
      <c r="A41" s="93">
        <f t="shared" si="2"/>
        <v>5</v>
      </c>
      <c r="B41" s="94" t="str">
        <f>IFERROR(INDEX(Teilnehmer[LfNr],_xlfn.AGGREGATE(15,6,ROW(Teilnehmer[LfNr])/((Teilnehmer[Kleingruppe]=$E$34)),ROW()-36)-1,1),"")</f>
        <v/>
      </c>
      <c r="C41" s="95" t="str">
        <f>IFERROR(VLOOKUP(B41,Teilnehmer[],2,FALSE),"")</f>
        <v/>
      </c>
      <c r="D41" s="95" t="str">
        <f>IFERROR(VLOOKUP(B41,Teilnehmer[],3,FALSE),"")</f>
        <v/>
      </c>
      <c r="E41" s="96" t="str">
        <f>IFERROR(VLOOKUP(B41,Teilnehmer[],5,FALSE),"")</f>
        <v/>
      </c>
    </row>
    <row r="42" spans="1:6" ht="15.6" customHeight="1" x14ac:dyDescent="0.3">
      <c r="A42" s="93">
        <f t="shared" si="2"/>
        <v>6</v>
      </c>
      <c r="B42" s="94" t="str">
        <f>IFERROR(INDEX(Teilnehmer[LfNr],_xlfn.AGGREGATE(15,6,ROW(Teilnehmer[LfNr])/((Teilnehmer[Kleingruppe]=$E$34)),ROW()-36)-1,1),"")</f>
        <v/>
      </c>
      <c r="C42" s="95" t="str">
        <f>IFERROR(VLOOKUP(B42,Teilnehmer[],2,FALSE),"")</f>
        <v/>
      </c>
      <c r="D42" s="95" t="str">
        <f>IFERROR(VLOOKUP(B42,Teilnehmer[],3,FALSE),"")</f>
        <v/>
      </c>
      <c r="E42" s="96" t="str">
        <f>IFERROR(VLOOKUP(B42,Teilnehmer[],5,FALSE),"")</f>
        <v/>
      </c>
    </row>
    <row r="43" spans="1:6" ht="15.6" customHeight="1" x14ac:dyDescent="0.3">
      <c r="A43" s="93">
        <f t="shared" si="2"/>
        <v>7</v>
      </c>
      <c r="B43" s="94" t="str">
        <f>IFERROR(INDEX(Teilnehmer[LfNr],_xlfn.AGGREGATE(15,6,ROW(Teilnehmer[LfNr])/((Teilnehmer[Kleingruppe]=$E$34)),ROW()-36)-1,1),"")</f>
        <v/>
      </c>
      <c r="C43" s="95" t="str">
        <f>IFERROR(VLOOKUP(B43,Teilnehmer[],2,FALSE),"")</f>
        <v/>
      </c>
      <c r="D43" s="95" t="str">
        <f>IFERROR(VLOOKUP(B43,Teilnehmer[],3,FALSE),"")</f>
        <v/>
      </c>
      <c r="E43" s="96" t="str">
        <f>IFERROR(VLOOKUP(B43,Teilnehmer[],5,FALSE),"")</f>
        <v/>
      </c>
    </row>
    <row r="44" spans="1:6" ht="15.6" customHeight="1" x14ac:dyDescent="0.3">
      <c r="A44" s="93">
        <f t="shared" si="2"/>
        <v>8</v>
      </c>
      <c r="B44" s="94" t="str">
        <f>IFERROR(INDEX(Teilnehmer[LfNr],_xlfn.AGGREGATE(15,6,ROW(Teilnehmer[LfNr])/((Teilnehmer[Kleingruppe]=$E$34)),ROW()-36)-1,1),"")</f>
        <v/>
      </c>
      <c r="C44" s="95" t="str">
        <f>IFERROR(VLOOKUP(B44,Teilnehmer[],2,FALSE),"")</f>
        <v/>
      </c>
      <c r="D44" s="95" t="str">
        <f>IFERROR(VLOOKUP(B44,Teilnehmer[],3,FALSE),"")</f>
        <v/>
      </c>
      <c r="E44" s="96" t="str">
        <f>IFERROR(VLOOKUP(B44,Teilnehmer[],5,FALSE),"")</f>
        <v/>
      </c>
    </row>
    <row r="45" spans="1:6" ht="15.6" customHeight="1" x14ac:dyDescent="0.3">
      <c r="A45" s="93" t="s">
        <v>54</v>
      </c>
      <c r="B45" s="94" t="str">
        <f>IFERROR(INDEX(Teilnehmer[LfNr],_xlfn.AGGREGATE(15,6,ROW(Teilnehmer[LfNr])/((Teilnehmer[Kleingruppe]=$E$34)),ROW()-36)-1,1),"")</f>
        <v/>
      </c>
      <c r="C45" s="95" t="str">
        <f>IFERROR(VLOOKUP(B45,Teilnehmer[],2,FALSE),"")</f>
        <v/>
      </c>
      <c r="D45" s="95" t="str">
        <f>IFERROR(VLOOKUP(B45,Teilnehmer[],3,FALSE),"")</f>
        <v/>
      </c>
      <c r="E45" s="96" t="str">
        <f>IFERROR(VLOOKUP(B45,Teilnehmer[],5,FALSE),"")</f>
        <v/>
      </c>
    </row>
    <row r="46" spans="1:6" ht="15.6" customHeight="1" x14ac:dyDescent="0.3">
      <c r="A46" s="93" t="s">
        <v>54</v>
      </c>
      <c r="B46" s="94" t="str">
        <f>IFERROR(INDEX(Teilnehmer[LfNr],_xlfn.AGGREGATE(15,6,ROW(Teilnehmer[LfNr])/((Teilnehmer[Kleingruppe]=$E$34)),ROW()-36)-1,1),"")</f>
        <v/>
      </c>
      <c r="C46" s="308" t="str">
        <f>IFERROR(VLOOKUP(B46,Teilnehmer[],2,FALSE),"")</f>
        <v/>
      </c>
      <c r="D46" s="308" t="str">
        <f>IFERROR(VLOOKUP(B46,Teilnehmer[],3,FALSE),"")</f>
        <v/>
      </c>
      <c r="E46" s="175" t="str">
        <f>IFERROR(VLOOKUP(B46,Teilnehmer[],5,FALSE),"")</f>
        <v/>
      </c>
    </row>
    <row r="47" spans="1:6" ht="15.6" customHeight="1" thickBot="1" x14ac:dyDescent="0.35">
      <c r="A47" s="97" t="s">
        <v>54</v>
      </c>
      <c r="B47" s="307" t="str">
        <f>IFERROR(INDEX(Teilnehmer[LfNr],_xlfn.AGGREGATE(15,6,ROW(Teilnehmer[LfNr])/((Teilnehmer[Kleingruppe]=$E$34)),ROW()-36)-1,1),"")</f>
        <v/>
      </c>
      <c r="C47" s="99" t="str">
        <f>IFERROR(VLOOKUP(B47,Teilnehmer[],2,FALSE),"")</f>
        <v/>
      </c>
      <c r="D47" s="99" t="str">
        <f>IFERROR(VLOOKUP(B47,Teilnehmer[],3,FALSE),"")</f>
        <v/>
      </c>
      <c r="E47" s="100" t="str">
        <f>IFERROR(VLOOKUP(B47,Teilnehmer[],5,FALSE),"")</f>
        <v/>
      </c>
    </row>
    <row r="48" spans="1:6" ht="15.6" thickTop="1" thickBot="1" x14ac:dyDescent="0.35"/>
    <row r="49" spans="1:5" ht="19.2" customHeight="1" thickTop="1" thickBot="1" x14ac:dyDescent="0.35">
      <c r="A49" s="84" t="s">
        <v>9</v>
      </c>
      <c r="B49" s="85"/>
      <c r="C49" s="289">
        <f>Deckblatt!C8</f>
        <v>0</v>
      </c>
      <c r="D49" s="85"/>
      <c r="E49" s="75" t="s">
        <v>55</v>
      </c>
    </row>
    <row r="50" spans="1:5" ht="25.2" customHeight="1" thickBot="1" x14ac:dyDescent="0.35">
      <c r="A50" s="87" t="s">
        <v>52</v>
      </c>
      <c r="B50" s="40"/>
      <c r="C50" s="323"/>
      <c r="D50" s="324"/>
      <c r="E50" s="325"/>
    </row>
    <row r="51" spans="1:5" ht="19.95" customHeight="1" x14ac:dyDescent="0.3">
      <c r="A51" s="41" t="s">
        <v>46</v>
      </c>
      <c r="B51" s="63" t="s">
        <v>53</v>
      </c>
      <c r="C51" s="64" t="s">
        <v>3</v>
      </c>
      <c r="D51" s="64" t="s">
        <v>4</v>
      </c>
      <c r="E51" s="65" t="s">
        <v>47</v>
      </c>
    </row>
    <row r="52" spans="1:5" ht="15.6" customHeight="1" x14ac:dyDescent="0.3">
      <c r="A52" s="93">
        <v>1</v>
      </c>
      <c r="B52" s="94" t="str">
        <f>IFERROR(INDEX(Teilnehmer[LfNr],_xlfn.AGGREGATE(15,6,ROW(Teilnehmer[LfNr])/((Teilnehmer[Kleingruppe]=$E$49)),ROW()-51)-1,1),"")</f>
        <v/>
      </c>
      <c r="C52" s="95" t="str">
        <f>IFERROR(VLOOKUP(B52,Teilnehmer[],2,FALSE),"")</f>
        <v/>
      </c>
      <c r="D52" s="95" t="str">
        <f>IFERROR(VLOOKUP(B52,Teilnehmer[],3,FALSE),"")</f>
        <v/>
      </c>
      <c r="E52" s="96" t="str">
        <f>IFERROR(VLOOKUP(B52,Teilnehmer[],5,FALSE),"")</f>
        <v/>
      </c>
    </row>
    <row r="53" spans="1:5" ht="15.6" customHeight="1" x14ac:dyDescent="0.3">
      <c r="A53" s="93">
        <f>A52+1</f>
        <v>2</v>
      </c>
      <c r="B53" s="94" t="str">
        <f>IFERROR(INDEX(Teilnehmer[LfNr],_xlfn.AGGREGATE(15,6,ROW(Teilnehmer[LfNr])/((Teilnehmer[Kleingruppe]=$E$49)),ROW()-51)-1,1),"")</f>
        <v/>
      </c>
      <c r="C53" s="95" t="str">
        <f>IFERROR(VLOOKUP(B53,Teilnehmer[],2,FALSE),"")</f>
        <v/>
      </c>
      <c r="D53" s="95" t="str">
        <f>IFERROR(VLOOKUP(B53,Teilnehmer[],3,FALSE),"")</f>
        <v/>
      </c>
      <c r="E53" s="96" t="str">
        <f>IFERROR(VLOOKUP(B53,Teilnehmer[],5,FALSE),"")</f>
        <v/>
      </c>
    </row>
    <row r="54" spans="1:5" ht="15.6" customHeight="1" x14ac:dyDescent="0.3">
      <c r="A54" s="93">
        <f t="shared" ref="A54:A59" si="3">A53+1</f>
        <v>3</v>
      </c>
      <c r="B54" s="94" t="str">
        <f>IFERROR(INDEX(Teilnehmer[LfNr],_xlfn.AGGREGATE(15,6,ROW(Teilnehmer[LfNr])/((Teilnehmer[Kleingruppe]=$E$49)),ROW()-51)-1,1),"")</f>
        <v/>
      </c>
      <c r="C54" s="95" t="str">
        <f>IFERROR(VLOOKUP(B54,Teilnehmer[],2,FALSE),"")</f>
        <v/>
      </c>
      <c r="D54" s="95" t="str">
        <f>IFERROR(VLOOKUP(B54,Teilnehmer[],3,FALSE),"")</f>
        <v/>
      </c>
      <c r="E54" s="96" t="str">
        <f>IFERROR(VLOOKUP(B54,Teilnehmer[],5,FALSE),"")</f>
        <v/>
      </c>
    </row>
    <row r="55" spans="1:5" ht="15.6" customHeight="1" x14ac:dyDescent="0.3">
      <c r="A55" s="93">
        <f t="shared" si="3"/>
        <v>4</v>
      </c>
      <c r="B55" s="94" t="str">
        <f>IFERROR(INDEX(Teilnehmer[LfNr],_xlfn.AGGREGATE(15,6,ROW(Teilnehmer[LfNr])/((Teilnehmer[Kleingruppe]=$E$49)),ROW()-51)-1,1),"")</f>
        <v/>
      </c>
      <c r="C55" s="95" t="str">
        <f>IFERROR(VLOOKUP(B55,Teilnehmer[],2,FALSE),"")</f>
        <v/>
      </c>
      <c r="D55" s="95" t="str">
        <f>IFERROR(VLOOKUP(B55,Teilnehmer[],3,FALSE),"")</f>
        <v/>
      </c>
      <c r="E55" s="96" t="str">
        <f>IFERROR(VLOOKUP(B55,Teilnehmer[],5,FALSE),"")</f>
        <v/>
      </c>
    </row>
    <row r="56" spans="1:5" ht="15.6" customHeight="1" x14ac:dyDescent="0.3">
      <c r="A56" s="93">
        <f t="shared" si="3"/>
        <v>5</v>
      </c>
      <c r="B56" s="94" t="str">
        <f>IFERROR(INDEX(Teilnehmer[LfNr],_xlfn.AGGREGATE(15,6,ROW(Teilnehmer[LfNr])/((Teilnehmer[Kleingruppe]=$E$49)),ROW()-51)-1,1),"")</f>
        <v/>
      </c>
      <c r="C56" s="95" t="str">
        <f>IFERROR(VLOOKUP(B56,Teilnehmer[],2,FALSE),"")</f>
        <v/>
      </c>
      <c r="D56" s="95" t="str">
        <f>IFERROR(VLOOKUP(B56,Teilnehmer[],3,FALSE),"")</f>
        <v/>
      </c>
      <c r="E56" s="96" t="str">
        <f>IFERROR(VLOOKUP(B56,Teilnehmer[],5,FALSE),"")</f>
        <v/>
      </c>
    </row>
    <row r="57" spans="1:5" ht="15.6" customHeight="1" x14ac:dyDescent="0.3">
      <c r="A57" s="93">
        <f t="shared" si="3"/>
        <v>6</v>
      </c>
      <c r="B57" s="94" t="str">
        <f>IFERROR(INDEX(Teilnehmer[LfNr],_xlfn.AGGREGATE(15,6,ROW(Teilnehmer[LfNr])/((Teilnehmer[Kleingruppe]=$E$49)),ROW()-51)-1,1),"")</f>
        <v/>
      </c>
      <c r="C57" s="95" t="str">
        <f>IFERROR(VLOOKUP(B57,Teilnehmer[],2,FALSE),"")</f>
        <v/>
      </c>
      <c r="D57" s="95" t="str">
        <f>IFERROR(VLOOKUP(B57,Teilnehmer[],3,FALSE),"")</f>
        <v/>
      </c>
      <c r="E57" s="96" t="str">
        <f>IFERROR(VLOOKUP(B57,Teilnehmer[],5,FALSE),"")</f>
        <v/>
      </c>
    </row>
    <row r="58" spans="1:5" ht="15.6" customHeight="1" x14ac:dyDescent="0.3">
      <c r="A58" s="93">
        <f t="shared" si="3"/>
        <v>7</v>
      </c>
      <c r="B58" s="94" t="str">
        <f>IFERROR(INDEX(Teilnehmer[LfNr],_xlfn.AGGREGATE(15,6,ROW(Teilnehmer[LfNr])/((Teilnehmer[Kleingruppe]=$E$49)),ROW()-51)-1,1),"")</f>
        <v/>
      </c>
      <c r="C58" s="95" t="str">
        <f>IFERROR(VLOOKUP(B58,Teilnehmer[],2,FALSE),"")</f>
        <v/>
      </c>
      <c r="D58" s="95" t="str">
        <f>IFERROR(VLOOKUP(B58,Teilnehmer[],3,FALSE),"")</f>
        <v/>
      </c>
      <c r="E58" s="96" t="str">
        <f>IFERROR(VLOOKUP(B58,Teilnehmer[],5,FALSE),"")</f>
        <v/>
      </c>
    </row>
    <row r="59" spans="1:5" ht="15.6" customHeight="1" x14ac:dyDescent="0.3">
      <c r="A59" s="93">
        <f t="shared" si="3"/>
        <v>8</v>
      </c>
      <c r="B59" s="94" t="str">
        <f>IFERROR(INDEX(Teilnehmer[LfNr],_xlfn.AGGREGATE(15,6,ROW(Teilnehmer[LfNr])/((Teilnehmer[Kleingruppe]=$E$49)),ROW()-51)-1,1),"")</f>
        <v/>
      </c>
      <c r="C59" s="95" t="str">
        <f>IFERROR(VLOOKUP(B59,Teilnehmer[],2,FALSE),"")</f>
        <v/>
      </c>
      <c r="D59" s="95" t="str">
        <f>IFERROR(VLOOKUP(B59,Teilnehmer[],3,FALSE),"")</f>
        <v/>
      </c>
      <c r="E59" s="96" t="str">
        <f>IFERROR(VLOOKUP(B59,Teilnehmer[],5,FALSE),"")</f>
        <v/>
      </c>
    </row>
    <row r="60" spans="1:5" ht="15.6" customHeight="1" x14ac:dyDescent="0.3">
      <c r="A60" s="93" t="s">
        <v>54</v>
      </c>
      <c r="B60" s="94" t="str">
        <f>IFERROR(INDEX(Teilnehmer[LfNr],_xlfn.AGGREGATE(15,6,ROW(Teilnehmer[LfNr])/((Teilnehmer[Kleingruppe]=$E$49)),ROW()-51)-1,1),"")</f>
        <v/>
      </c>
      <c r="C60" s="95" t="str">
        <f>IFERROR(VLOOKUP(B60,Teilnehmer[],2,FALSE),"")</f>
        <v/>
      </c>
      <c r="D60" s="95" t="str">
        <f>IFERROR(VLOOKUP(B60,Teilnehmer[],3,FALSE),"")</f>
        <v/>
      </c>
      <c r="E60" s="96" t="str">
        <f>IFERROR(VLOOKUP(B60,Teilnehmer[],5,FALSE),"")</f>
        <v/>
      </c>
    </row>
    <row r="61" spans="1:5" ht="15.6" customHeight="1" x14ac:dyDescent="0.3">
      <c r="A61" s="93" t="s">
        <v>54</v>
      </c>
      <c r="B61" s="94" t="str">
        <f>IFERROR(INDEX(Teilnehmer[LfNr],_xlfn.AGGREGATE(15,6,ROW(Teilnehmer[LfNr])/((Teilnehmer[Kleingruppe]=$E$49)),ROW()-51)-1,1),"")</f>
        <v/>
      </c>
      <c r="C61" s="308" t="str">
        <f>IFERROR(VLOOKUP(B61,Teilnehmer[],2,FALSE),"")</f>
        <v/>
      </c>
      <c r="D61" s="308" t="str">
        <f>IFERROR(VLOOKUP(B61,Teilnehmer[],3,FALSE),"")</f>
        <v/>
      </c>
      <c r="E61" s="175" t="str">
        <f>IFERROR(VLOOKUP(B61,Teilnehmer[],5,FALSE),"")</f>
        <v/>
      </c>
    </row>
    <row r="62" spans="1:5" ht="15.6" customHeight="1" thickBot="1" x14ac:dyDescent="0.35">
      <c r="A62" s="97" t="s">
        <v>54</v>
      </c>
      <c r="B62" s="307" t="str">
        <f>IFERROR(INDEX(Teilnehmer[LfNr],_xlfn.AGGREGATE(15,6,ROW(Teilnehmer[LfNr])/((Teilnehmer[Kleingruppe]=$E$49)),ROW()-51)-1,1),"")</f>
        <v/>
      </c>
      <c r="C62" s="99" t="str">
        <f>IFERROR(VLOOKUP(B62,Teilnehmer[],2,FALSE),"")</f>
        <v/>
      </c>
      <c r="D62" s="99" t="str">
        <f>IFERROR(VLOOKUP(B62,Teilnehmer[],3,FALSE),"")</f>
        <v/>
      </c>
      <c r="E62" s="100" t="str">
        <f>IFERROR(VLOOKUP(B62,Teilnehmer[],5,FALSE),"")</f>
        <v/>
      </c>
    </row>
    <row r="63" spans="1:5" ht="15.6" thickTop="1" thickBot="1" x14ac:dyDescent="0.35"/>
    <row r="64" spans="1:5" ht="19.2" customHeight="1" thickTop="1" thickBot="1" x14ac:dyDescent="0.35">
      <c r="A64" s="84" t="s">
        <v>9</v>
      </c>
      <c r="B64" s="85"/>
      <c r="C64" s="289">
        <f>Deckblatt!C$8</f>
        <v>0</v>
      </c>
      <c r="D64" s="85"/>
      <c r="E64" s="75" t="s">
        <v>95</v>
      </c>
    </row>
    <row r="65" spans="1:5" ht="25.2" customHeight="1" thickBot="1" x14ac:dyDescent="0.35">
      <c r="A65" s="87" t="s">
        <v>52</v>
      </c>
      <c r="B65" s="40"/>
      <c r="C65" s="323"/>
      <c r="D65" s="324"/>
      <c r="E65" s="325"/>
    </row>
    <row r="66" spans="1:5" x14ac:dyDescent="0.3">
      <c r="A66" s="41" t="s">
        <v>46</v>
      </c>
      <c r="B66" s="63" t="s">
        <v>53</v>
      </c>
      <c r="C66" s="64" t="s">
        <v>3</v>
      </c>
      <c r="D66" s="64" t="s">
        <v>4</v>
      </c>
      <c r="E66" s="65" t="s">
        <v>47</v>
      </c>
    </row>
    <row r="67" spans="1:5" ht="15" x14ac:dyDescent="0.3">
      <c r="A67" s="93">
        <v>1</v>
      </c>
      <c r="B67" s="94" t="str">
        <f>IFERROR(INDEX(Teilnehmer[LfNr],_xlfn.AGGREGATE(15,6,ROW(Teilnehmer[LfNr])/((Teilnehmer[Kleingruppe]=$E$64)),ROW()-66)-1,1),"")</f>
        <v/>
      </c>
      <c r="C67" s="95" t="str">
        <f>IFERROR(VLOOKUP(B67,Teilnehmer[],2,FALSE),"")</f>
        <v/>
      </c>
      <c r="D67" s="95" t="str">
        <f>IFERROR(VLOOKUP(B67,Teilnehmer[],3,FALSE),"")</f>
        <v/>
      </c>
      <c r="E67" s="96" t="str">
        <f>IFERROR(VLOOKUP(B67,Teilnehmer[],5,FALSE),"")</f>
        <v/>
      </c>
    </row>
    <row r="68" spans="1:5" ht="15" x14ac:dyDescent="0.3">
      <c r="A68" s="93">
        <f>A67+1</f>
        <v>2</v>
      </c>
      <c r="B68" s="94" t="str">
        <f>IFERROR(INDEX(Teilnehmer[LfNr],_xlfn.AGGREGATE(15,6,ROW(Teilnehmer[LfNr])/((Teilnehmer[Kleingruppe]=$E$64)),ROW()-66)-1,1),"")</f>
        <v/>
      </c>
      <c r="C68" s="95" t="str">
        <f>IFERROR(VLOOKUP(B68,Teilnehmer[],2,FALSE),"")</f>
        <v/>
      </c>
      <c r="D68" s="95" t="str">
        <f>IFERROR(VLOOKUP(B68,Teilnehmer[],3,FALSE),"")</f>
        <v/>
      </c>
      <c r="E68" s="96" t="str">
        <f>IFERROR(VLOOKUP(B68,Teilnehmer[],5,FALSE),"")</f>
        <v/>
      </c>
    </row>
    <row r="69" spans="1:5" ht="15" x14ac:dyDescent="0.3">
      <c r="A69" s="93">
        <f t="shared" ref="A69:A74" si="4">A68+1</f>
        <v>3</v>
      </c>
      <c r="B69" s="94" t="str">
        <f>IFERROR(INDEX(Teilnehmer[LfNr],_xlfn.AGGREGATE(15,6,ROW(Teilnehmer[LfNr])/((Teilnehmer[Kleingruppe]=$E$64)),ROW()-66)-1,1),"")</f>
        <v/>
      </c>
      <c r="C69" s="95" t="str">
        <f>IFERROR(VLOOKUP(B69,Teilnehmer[],2,FALSE),"")</f>
        <v/>
      </c>
      <c r="D69" s="95" t="str">
        <f>IFERROR(VLOOKUP(B69,Teilnehmer[],3,FALSE),"")</f>
        <v/>
      </c>
      <c r="E69" s="96" t="str">
        <f>IFERROR(VLOOKUP(B69,Teilnehmer[],5,FALSE),"")</f>
        <v/>
      </c>
    </row>
    <row r="70" spans="1:5" ht="15" x14ac:dyDescent="0.3">
      <c r="A70" s="93">
        <f t="shared" si="4"/>
        <v>4</v>
      </c>
      <c r="B70" s="94" t="str">
        <f>IFERROR(INDEX(Teilnehmer[LfNr],_xlfn.AGGREGATE(15,6,ROW(Teilnehmer[LfNr])/((Teilnehmer[Kleingruppe]=$E$64)),ROW()-66)-1,1),"")</f>
        <v/>
      </c>
      <c r="C70" s="95" t="str">
        <f>IFERROR(VLOOKUP(B70,Teilnehmer[],2,FALSE),"")</f>
        <v/>
      </c>
      <c r="D70" s="95" t="str">
        <f>IFERROR(VLOOKUP(B70,Teilnehmer[],3,FALSE),"")</f>
        <v/>
      </c>
      <c r="E70" s="96" t="str">
        <f>IFERROR(VLOOKUP(B70,Teilnehmer[],5,FALSE),"")</f>
        <v/>
      </c>
    </row>
    <row r="71" spans="1:5" ht="15" x14ac:dyDescent="0.3">
      <c r="A71" s="93">
        <f t="shared" si="4"/>
        <v>5</v>
      </c>
      <c r="B71" s="94" t="str">
        <f>IFERROR(INDEX(Teilnehmer[LfNr],_xlfn.AGGREGATE(15,6,ROW(Teilnehmer[LfNr])/((Teilnehmer[Kleingruppe]=$E$64)),ROW()-66)-1,1),"")</f>
        <v/>
      </c>
      <c r="C71" s="95" t="str">
        <f>IFERROR(VLOOKUP(B71,Teilnehmer[],2,FALSE),"")</f>
        <v/>
      </c>
      <c r="D71" s="95" t="str">
        <f>IFERROR(VLOOKUP(B71,Teilnehmer[],3,FALSE),"")</f>
        <v/>
      </c>
      <c r="E71" s="96" t="str">
        <f>IFERROR(VLOOKUP(B71,Teilnehmer[],5,FALSE),"")</f>
        <v/>
      </c>
    </row>
    <row r="72" spans="1:5" ht="15" x14ac:dyDescent="0.3">
      <c r="A72" s="93">
        <f t="shared" si="4"/>
        <v>6</v>
      </c>
      <c r="B72" s="94" t="str">
        <f>IFERROR(INDEX(Teilnehmer[LfNr],_xlfn.AGGREGATE(15,6,ROW(Teilnehmer[LfNr])/((Teilnehmer[Kleingruppe]=$E$64)),ROW()-66)-1,1),"")</f>
        <v/>
      </c>
      <c r="C72" s="95" t="str">
        <f>IFERROR(VLOOKUP(B72,Teilnehmer[],2,FALSE),"")</f>
        <v/>
      </c>
      <c r="D72" s="95" t="str">
        <f>IFERROR(VLOOKUP(B72,Teilnehmer[],3,FALSE),"")</f>
        <v/>
      </c>
      <c r="E72" s="96" t="str">
        <f>IFERROR(VLOOKUP(B72,Teilnehmer[],5,FALSE),"")</f>
        <v/>
      </c>
    </row>
    <row r="73" spans="1:5" ht="15" x14ac:dyDescent="0.3">
      <c r="A73" s="93">
        <f t="shared" si="4"/>
        <v>7</v>
      </c>
      <c r="B73" s="94" t="str">
        <f>IFERROR(INDEX(Teilnehmer[LfNr],_xlfn.AGGREGATE(15,6,ROW(Teilnehmer[LfNr])/((Teilnehmer[Kleingruppe]=$E$64)),ROW()-66)-1,1),"")</f>
        <v/>
      </c>
      <c r="C73" s="95" t="str">
        <f>IFERROR(VLOOKUP(B73,Teilnehmer[],2,FALSE),"")</f>
        <v/>
      </c>
      <c r="D73" s="95" t="str">
        <f>IFERROR(VLOOKUP(B73,Teilnehmer[],3,FALSE),"")</f>
        <v/>
      </c>
      <c r="E73" s="96" t="str">
        <f>IFERROR(VLOOKUP(B73,Teilnehmer[],5,FALSE),"")</f>
        <v/>
      </c>
    </row>
    <row r="74" spans="1:5" ht="15" x14ac:dyDescent="0.3">
      <c r="A74" s="93">
        <f t="shared" si="4"/>
        <v>8</v>
      </c>
      <c r="B74" s="94" t="str">
        <f>IFERROR(INDEX(Teilnehmer[LfNr],_xlfn.AGGREGATE(15,6,ROW(Teilnehmer[LfNr])/((Teilnehmer[Kleingruppe]=$E$64)),ROW()-66)-1,1),"")</f>
        <v/>
      </c>
      <c r="C74" s="95" t="str">
        <f>IFERROR(VLOOKUP(B74,Teilnehmer[],2,FALSE),"")</f>
        <v/>
      </c>
      <c r="D74" s="95" t="str">
        <f>IFERROR(VLOOKUP(B74,Teilnehmer[],3,FALSE),"")</f>
        <v/>
      </c>
      <c r="E74" s="96" t="str">
        <f>IFERROR(VLOOKUP(B74,Teilnehmer[],5,FALSE),"")</f>
        <v/>
      </c>
    </row>
    <row r="75" spans="1:5" ht="15" x14ac:dyDescent="0.3">
      <c r="A75" s="93" t="s">
        <v>54</v>
      </c>
      <c r="B75" s="94" t="str">
        <f>IFERROR(INDEX(Teilnehmer[LfNr],_xlfn.AGGREGATE(15,6,ROW(Teilnehmer[LfNr])/((Teilnehmer[Kleingruppe]=$E$64)),ROW()-66)-1,1),"")</f>
        <v/>
      </c>
      <c r="C75" s="95" t="str">
        <f>IFERROR(VLOOKUP(B75,Teilnehmer[],2,FALSE),"")</f>
        <v/>
      </c>
      <c r="D75" s="95" t="str">
        <f>IFERROR(VLOOKUP(B75,Teilnehmer[],3,FALSE),"")</f>
        <v/>
      </c>
      <c r="E75" s="96" t="str">
        <f>IFERROR(VLOOKUP(B75,Teilnehmer[],5,FALSE),"")</f>
        <v/>
      </c>
    </row>
    <row r="76" spans="1:5" ht="15" x14ac:dyDescent="0.3">
      <c r="A76" s="93" t="s">
        <v>54</v>
      </c>
      <c r="B76" s="94" t="str">
        <f>IFERROR(INDEX(Teilnehmer[LfNr],_xlfn.AGGREGATE(15,6,ROW(Teilnehmer[LfNr])/((Teilnehmer[Kleingruppe]=$E$64)),ROW()-66)-1,1),"")</f>
        <v/>
      </c>
      <c r="C76" s="308" t="str">
        <f>IFERROR(VLOOKUP(B76,Teilnehmer[],2,FALSE),"")</f>
        <v/>
      </c>
      <c r="D76" s="308" t="str">
        <f>IFERROR(VLOOKUP(B76,Teilnehmer[],3,FALSE),"")</f>
        <v/>
      </c>
      <c r="E76" s="175" t="str">
        <f>IFERROR(VLOOKUP(B76,Teilnehmer[],5,FALSE),"")</f>
        <v/>
      </c>
    </row>
    <row r="77" spans="1:5" ht="15.6" thickBot="1" x14ac:dyDescent="0.35">
      <c r="A77" s="97" t="s">
        <v>54</v>
      </c>
      <c r="B77" s="307" t="str">
        <f>IFERROR(INDEX(Teilnehmer[LfNr],_xlfn.AGGREGATE(15,6,ROW(Teilnehmer[LfNr])/((Teilnehmer[Kleingruppe]=$E$64)),ROW()-66)-1,1),"")</f>
        <v/>
      </c>
      <c r="C77" s="99" t="str">
        <f>IFERROR(VLOOKUP(B77,Teilnehmer[],2,FALSE),"")</f>
        <v/>
      </c>
      <c r="D77" s="99" t="str">
        <f>IFERROR(VLOOKUP(B77,Teilnehmer[],3,FALSE),"")</f>
        <v/>
      </c>
      <c r="E77" s="100" t="str">
        <f>IFERROR(VLOOKUP(B77,Teilnehmer[],5,FALSE),"")</f>
        <v/>
      </c>
    </row>
    <row r="78" spans="1:5" ht="15.6" thickTop="1" thickBot="1" x14ac:dyDescent="0.35"/>
    <row r="79" spans="1:5" ht="19.2" customHeight="1" thickTop="1" thickBot="1" x14ac:dyDescent="0.35">
      <c r="A79" s="84" t="s">
        <v>9</v>
      </c>
      <c r="B79" s="85"/>
      <c r="C79" s="289">
        <f>Deckblatt!C$8</f>
        <v>0</v>
      </c>
      <c r="D79" s="85"/>
      <c r="E79" s="75" t="s">
        <v>96</v>
      </c>
    </row>
    <row r="80" spans="1:5" ht="25.2" customHeight="1" thickBot="1" x14ac:dyDescent="0.35">
      <c r="A80" s="87" t="s">
        <v>52</v>
      </c>
      <c r="B80" s="40"/>
      <c r="C80" s="323"/>
      <c r="D80" s="324"/>
      <c r="E80" s="325"/>
    </row>
    <row r="81" spans="1:5" x14ac:dyDescent="0.3">
      <c r="A81" s="41" t="s">
        <v>46</v>
      </c>
      <c r="B81" s="63" t="s">
        <v>53</v>
      </c>
      <c r="C81" s="64" t="s">
        <v>3</v>
      </c>
      <c r="D81" s="64" t="s">
        <v>4</v>
      </c>
      <c r="E81" s="65" t="s">
        <v>47</v>
      </c>
    </row>
    <row r="82" spans="1:5" ht="15" x14ac:dyDescent="0.3">
      <c r="A82" s="93">
        <v>1</v>
      </c>
      <c r="B82" s="94" t="str">
        <f>IFERROR(INDEX(Teilnehmer[LfNr],_xlfn.AGGREGATE(15,6,ROW(Teilnehmer[LfNr])/((Teilnehmer[Kleingruppe]=$E$79)),ROW()-81)-1,1),"")</f>
        <v/>
      </c>
      <c r="C82" s="95" t="str">
        <f>IFERROR(VLOOKUP(B82,Teilnehmer[],2,FALSE),"")</f>
        <v/>
      </c>
      <c r="D82" s="95" t="str">
        <f>IFERROR(VLOOKUP(B82,Teilnehmer[],3,FALSE),"")</f>
        <v/>
      </c>
      <c r="E82" s="96" t="str">
        <f>IFERROR(VLOOKUP(B82,Teilnehmer[],5,FALSE),"")</f>
        <v/>
      </c>
    </row>
    <row r="83" spans="1:5" ht="15" x14ac:dyDescent="0.3">
      <c r="A83" s="93">
        <f>A82+1</f>
        <v>2</v>
      </c>
      <c r="B83" s="94" t="str">
        <f>IFERROR(INDEX(Teilnehmer[LfNr],_xlfn.AGGREGATE(15,6,ROW(Teilnehmer[LfNr])/((Teilnehmer[Kleingruppe]=$E$79)),ROW()-81)-1,1),"")</f>
        <v/>
      </c>
      <c r="C83" s="95" t="str">
        <f>IFERROR(VLOOKUP(B83,Teilnehmer[],2,FALSE),"")</f>
        <v/>
      </c>
      <c r="D83" s="95" t="str">
        <f>IFERROR(VLOOKUP(B83,Teilnehmer[],3,FALSE),"")</f>
        <v/>
      </c>
      <c r="E83" s="96" t="str">
        <f>IFERROR(VLOOKUP(B83,Teilnehmer[],5,FALSE),"")</f>
        <v/>
      </c>
    </row>
    <row r="84" spans="1:5" ht="15" x14ac:dyDescent="0.3">
      <c r="A84" s="93">
        <f t="shared" ref="A84:A89" si="5">A83+1</f>
        <v>3</v>
      </c>
      <c r="B84" s="94" t="str">
        <f>IFERROR(INDEX(Teilnehmer[LfNr],_xlfn.AGGREGATE(15,6,ROW(Teilnehmer[LfNr])/((Teilnehmer[Kleingruppe]=$E$79)),ROW()-81)-1,1),"")</f>
        <v/>
      </c>
      <c r="C84" s="95" t="str">
        <f>IFERROR(VLOOKUP(B84,Teilnehmer[],2,FALSE),"")</f>
        <v/>
      </c>
      <c r="D84" s="95" t="str">
        <f>IFERROR(VLOOKUP(B84,Teilnehmer[],3,FALSE),"")</f>
        <v/>
      </c>
      <c r="E84" s="96" t="str">
        <f>IFERROR(VLOOKUP(B84,Teilnehmer[],5,FALSE),"")</f>
        <v/>
      </c>
    </row>
    <row r="85" spans="1:5" ht="15" x14ac:dyDescent="0.3">
      <c r="A85" s="93">
        <f t="shared" si="5"/>
        <v>4</v>
      </c>
      <c r="B85" s="94" t="str">
        <f>IFERROR(INDEX(Teilnehmer[LfNr],_xlfn.AGGREGATE(15,6,ROW(Teilnehmer[LfNr])/((Teilnehmer[Kleingruppe]=$E$79)),ROW()-81)-1,1),"")</f>
        <v/>
      </c>
      <c r="C85" s="95" t="str">
        <f>IFERROR(VLOOKUP(B85,Teilnehmer[],2,FALSE),"")</f>
        <v/>
      </c>
      <c r="D85" s="95" t="str">
        <f>IFERROR(VLOOKUP(B85,Teilnehmer[],3,FALSE),"")</f>
        <v/>
      </c>
      <c r="E85" s="96" t="str">
        <f>IFERROR(VLOOKUP(B85,Teilnehmer[],5,FALSE),"")</f>
        <v/>
      </c>
    </row>
    <row r="86" spans="1:5" ht="15" x14ac:dyDescent="0.3">
      <c r="A86" s="93">
        <f t="shared" si="5"/>
        <v>5</v>
      </c>
      <c r="B86" s="94" t="str">
        <f>IFERROR(INDEX(Teilnehmer[LfNr],_xlfn.AGGREGATE(15,6,ROW(Teilnehmer[LfNr])/((Teilnehmer[Kleingruppe]=$E$79)),ROW()-81)-1,1),"")</f>
        <v/>
      </c>
      <c r="C86" s="95" t="str">
        <f>IFERROR(VLOOKUP(B86,Teilnehmer[],2,FALSE),"")</f>
        <v/>
      </c>
      <c r="D86" s="95" t="str">
        <f>IFERROR(VLOOKUP(B86,Teilnehmer[],3,FALSE),"")</f>
        <v/>
      </c>
      <c r="E86" s="96" t="str">
        <f>IFERROR(VLOOKUP(B86,Teilnehmer[],5,FALSE),"")</f>
        <v/>
      </c>
    </row>
    <row r="87" spans="1:5" ht="15" x14ac:dyDescent="0.3">
      <c r="A87" s="93">
        <f t="shared" si="5"/>
        <v>6</v>
      </c>
      <c r="B87" s="94" t="str">
        <f>IFERROR(INDEX(Teilnehmer[LfNr],_xlfn.AGGREGATE(15,6,ROW(Teilnehmer[LfNr])/((Teilnehmer[Kleingruppe]=$E$79)),ROW()-81)-1,1),"")</f>
        <v/>
      </c>
      <c r="C87" s="95" t="str">
        <f>IFERROR(VLOOKUP(B87,Teilnehmer[],2,FALSE),"")</f>
        <v/>
      </c>
      <c r="D87" s="95" t="str">
        <f>IFERROR(VLOOKUP(B87,Teilnehmer[],3,FALSE),"")</f>
        <v/>
      </c>
      <c r="E87" s="96" t="str">
        <f>IFERROR(VLOOKUP(B87,Teilnehmer[],5,FALSE),"")</f>
        <v/>
      </c>
    </row>
    <row r="88" spans="1:5" ht="15" x14ac:dyDescent="0.3">
      <c r="A88" s="93">
        <f t="shared" si="5"/>
        <v>7</v>
      </c>
      <c r="B88" s="94" t="str">
        <f>IFERROR(INDEX(Teilnehmer[LfNr],_xlfn.AGGREGATE(15,6,ROW(Teilnehmer[LfNr])/((Teilnehmer[Kleingruppe]=$E$79)),ROW()-81)-1,1),"")</f>
        <v/>
      </c>
      <c r="C88" s="95" t="str">
        <f>IFERROR(VLOOKUP(B88,Teilnehmer[],2,FALSE),"")</f>
        <v/>
      </c>
      <c r="D88" s="95" t="str">
        <f>IFERROR(VLOOKUP(B88,Teilnehmer[],3,FALSE),"")</f>
        <v/>
      </c>
      <c r="E88" s="96" t="str">
        <f>IFERROR(VLOOKUP(B88,Teilnehmer[],5,FALSE),"")</f>
        <v/>
      </c>
    </row>
    <row r="89" spans="1:5" ht="15" x14ac:dyDescent="0.3">
      <c r="A89" s="93">
        <f t="shared" si="5"/>
        <v>8</v>
      </c>
      <c r="B89" s="94" t="str">
        <f>IFERROR(INDEX(Teilnehmer[LfNr],_xlfn.AGGREGATE(15,6,ROW(Teilnehmer[LfNr])/((Teilnehmer[Kleingruppe]=$E$79)),ROW()-81)-1,1),"")</f>
        <v/>
      </c>
      <c r="C89" s="95" t="str">
        <f>IFERROR(VLOOKUP(B89,Teilnehmer[],2,FALSE),"")</f>
        <v/>
      </c>
      <c r="D89" s="95" t="str">
        <f>IFERROR(VLOOKUP(B89,Teilnehmer[],3,FALSE),"")</f>
        <v/>
      </c>
      <c r="E89" s="96" t="str">
        <f>IFERROR(VLOOKUP(B89,Teilnehmer[],5,FALSE),"")</f>
        <v/>
      </c>
    </row>
    <row r="90" spans="1:5" ht="15" x14ac:dyDescent="0.3">
      <c r="A90" s="93" t="s">
        <v>54</v>
      </c>
      <c r="B90" s="94" t="str">
        <f>IFERROR(INDEX(Teilnehmer[LfNr],_xlfn.AGGREGATE(15,6,ROW(Teilnehmer[LfNr])/((Teilnehmer[Kleingruppe]=$E$79)),ROW()-81)-1,1),"")</f>
        <v/>
      </c>
      <c r="C90" s="95" t="str">
        <f>IFERROR(VLOOKUP(B90,Teilnehmer[],2,FALSE),"")</f>
        <v/>
      </c>
      <c r="D90" s="95" t="str">
        <f>IFERROR(VLOOKUP(B90,Teilnehmer[],3,FALSE),"")</f>
        <v/>
      </c>
      <c r="E90" s="96" t="str">
        <f>IFERROR(VLOOKUP(B90,Teilnehmer[],5,FALSE),"")</f>
        <v/>
      </c>
    </row>
    <row r="91" spans="1:5" ht="15" x14ac:dyDescent="0.3">
      <c r="A91" s="93" t="s">
        <v>54</v>
      </c>
      <c r="B91" s="94" t="str">
        <f>IFERROR(INDEX(Teilnehmer[LfNr],_xlfn.AGGREGATE(15,6,ROW(Teilnehmer[LfNr])/((Teilnehmer[Kleingruppe]=$E$79)),ROW()-81)-1,1),"")</f>
        <v/>
      </c>
      <c r="C91" s="308" t="str">
        <f>IFERROR(VLOOKUP(B91,Teilnehmer[],2,FALSE),"")</f>
        <v/>
      </c>
      <c r="D91" s="308" t="str">
        <f>IFERROR(VLOOKUP(B91,Teilnehmer[],3,FALSE),"")</f>
        <v/>
      </c>
      <c r="E91" s="175" t="str">
        <f>IFERROR(VLOOKUP(B91,Teilnehmer[],5,FALSE),"")</f>
        <v/>
      </c>
    </row>
    <row r="92" spans="1:5" ht="15.6" thickBot="1" x14ac:dyDescent="0.35">
      <c r="A92" s="97" t="s">
        <v>54</v>
      </c>
      <c r="B92" s="307" t="str">
        <f>IFERROR(INDEX(Teilnehmer[LfNr],_xlfn.AGGREGATE(15,6,ROW(Teilnehmer[LfNr])/((Teilnehmer[Kleingruppe]=$E$79)),ROW()-81)-1,1),"")</f>
        <v/>
      </c>
      <c r="C92" s="99" t="str">
        <f>IFERROR(VLOOKUP(B92,Teilnehmer[],2,FALSE),"")</f>
        <v/>
      </c>
      <c r="D92" s="99" t="str">
        <f>IFERROR(VLOOKUP(B92,Teilnehmer[],3,FALSE),"")</f>
        <v/>
      </c>
      <c r="E92" s="100" t="str">
        <f>IFERROR(VLOOKUP(B92,Teilnehmer[],5,FALSE),"")</f>
        <v/>
      </c>
    </row>
    <row r="93" spans="1:5" ht="15" thickTop="1" x14ac:dyDescent="0.3"/>
  </sheetData>
  <sheetProtection algorithmName="SHA-512" hashValue="LzB3WkWRqQj4HcZf2d082aL8of5miuP7olTCejtvJB3a6i0W/QDsGRnP5jryDdOoOeYtMNgdEOyZEkNbhKxKvg==" saltValue="B9k0fSrjxc3nVjOnGuqqgQ==" spinCount="100000" sheet="1" selectLockedCells="1"/>
  <mergeCells count="7">
    <mergeCell ref="C65:E65"/>
    <mergeCell ref="C80:E80"/>
    <mergeCell ref="E2:F2"/>
    <mergeCell ref="C5:E5"/>
    <mergeCell ref="C20:E20"/>
    <mergeCell ref="C35:E35"/>
    <mergeCell ref="C50:E50"/>
  </mergeCells>
  <conditionalFormatting sqref="C5">
    <cfRule type="expression" dxfId="88" priority="7">
      <formula>AND(ISBLANK(C5),C7&lt;&gt;"")</formula>
    </cfRule>
  </conditionalFormatting>
  <conditionalFormatting sqref="C20">
    <cfRule type="expression" dxfId="87" priority="6">
      <formula>AND(ISBLANK($C$20),$C$22&lt;&gt;"")</formula>
    </cfRule>
  </conditionalFormatting>
  <conditionalFormatting sqref="C35:E35">
    <cfRule type="expression" dxfId="86" priority="5">
      <formula>AND(ISBLANK($C$35),$C$37&lt;&gt;"")</formula>
    </cfRule>
  </conditionalFormatting>
  <conditionalFormatting sqref="C50:E50">
    <cfRule type="expression" dxfId="85" priority="4">
      <formula>AND(ISBLANK($C$50),$C$52&lt;&gt;"")</formula>
    </cfRule>
  </conditionalFormatting>
  <conditionalFormatting sqref="C65:E65">
    <cfRule type="expression" dxfId="84" priority="3">
      <formula>AND(ISBLANK($C$65),$C$67&lt;&gt;"")</formula>
    </cfRule>
  </conditionalFormatting>
  <conditionalFormatting sqref="C80:E80">
    <cfRule type="expression" dxfId="83" priority="2">
      <formula>AND(ISBLANK($C$80),$C$82&lt;&gt;"")</formula>
    </cfRule>
  </conditionalFormatting>
  <pageMargins left="0.70866141732283472" right="0.70866141732283472" top="0.59055118110236227" bottom="0.59055118110236227" header="0.31496062992125984" footer="0.31496062992125984"/>
  <pageSetup paperSize="9" fitToWidth="0" orientation="portrait" r:id="rId1"/>
  <rowBreaks count="1" manualBreakCount="1">
    <brk id="32" max="6" man="1"/>
  </rowBreaks>
  <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3">
    <tabColor theme="0" tint="-0.249977111117893"/>
  </sheetPr>
  <dimension ref="A1:Q183"/>
  <sheetViews>
    <sheetView showRowColHeaders="0" zoomScaleNormal="100" workbookViewId="0">
      <selection activeCell="C5" sqref="C5:E5"/>
    </sheetView>
  </sheetViews>
  <sheetFormatPr baseColWidth="10" defaultColWidth="11.5546875" defaultRowHeight="14.4" x14ac:dyDescent="0.3"/>
  <cols>
    <col min="1" max="1" width="6.6640625" style="76" customWidth="1"/>
    <col min="2" max="2" width="7.6640625" style="76" customWidth="1"/>
    <col min="3" max="4" width="20.6640625" style="76" customWidth="1"/>
    <col min="5" max="5" width="7.6640625" style="76" customWidth="1"/>
    <col min="6" max="6" width="5.6640625" style="76" customWidth="1"/>
    <col min="7" max="7" width="6.6640625" style="76" customWidth="1"/>
    <col min="8" max="8" width="7.6640625" style="76" customWidth="1"/>
    <col min="9" max="10" width="20.6640625" style="76" customWidth="1"/>
    <col min="11" max="11" width="7.6640625" style="76" customWidth="1"/>
    <col min="12" max="12" width="5.6640625" style="76" customWidth="1"/>
    <col min="13" max="13" width="8.33203125" style="76" customWidth="1"/>
    <col min="14" max="14" width="7.6640625" style="76" customWidth="1"/>
    <col min="15" max="16" width="20.6640625" style="76" customWidth="1"/>
    <col min="17" max="17" width="7.6640625" style="76" customWidth="1"/>
    <col min="18" max="16384" width="11.5546875" style="76"/>
  </cols>
  <sheetData>
    <row r="1" spans="1:17" ht="40.200000000000003" customHeight="1" x14ac:dyDescent="0.55000000000000004">
      <c r="A1" s="151" t="str">
        <f>Deckblatt!B1</f>
        <v>Süddeutsche Meisterschaft Freestyle</v>
      </c>
      <c r="D1" s="77"/>
      <c r="E1" s="77"/>
      <c r="H1" s="78"/>
      <c r="I1" s="78"/>
      <c r="J1" s="78"/>
      <c r="K1" s="78"/>
      <c r="L1" s="78"/>
    </row>
    <row r="2" spans="1:17" ht="19.95" customHeight="1" x14ac:dyDescent="0.4">
      <c r="A2" s="155" t="s">
        <v>10</v>
      </c>
      <c r="D2" s="278">
        <f>Meldung!W1</f>
        <v>43911</v>
      </c>
      <c r="E2" s="320">
        <f>D2+1</f>
        <v>43912</v>
      </c>
      <c r="F2" s="320"/>
      <c r="G2" s="320"/>
      <c r="I2" s="80"/>
      <c r="J2" s="81"/>
      <c r="K2" s="80"/>
      <c r="L2" s="81"/>
    </row>
    <row r="3" spans="1:17" ht="15" customHeight="1" thickBot="1" x14ac:dyDescent="0.4">
      <c r="A3" s="82"/>
      <c r="B3" s="82"/>
      <c r="C3" s="82"/>
      <c r="E3" s="82"/>
      <c r="F3" s="79"/>
      <c r="G3" s="80"/>
      <c r="H3" s="80"/>
      <c r="I3" s="80"/>
      <c r="J3" s="83"/>
      <c r="K3" s="80"/>
    </row>
    <row r="4" spans="1:17" ht="19.2" thickTop="1" thickBot="1" x14ac:dyDescent="0.4">
      <c r="A4" s="84" t="s">
        <v>10</v>
      </c>
      <c r="B4" s="85"/>
      <c r="C4" s="289">
        <f>Deckblatt!C8</f>
        <v>0</v>
      </c>
      <c r="D4" s="85"/>
      <c r="E4" s="75" t="s">
        <v>40</v>
      </c>
      <c r="F4" s="79"/>
      <c r="G4" s="84" t="s">
        <v>10</v>
      </c>
      <c r="H4" s="85"/>
      <c r="I4" s="289">
        <f>Deckblatt!C8</f>
        <v>0</v>
      </c>
      <c r="J4" s="85"/>
      <c r="K4" s="75" t="s">
        <v>41</v>
      </c>
      <c r="M4" s="84" t="s">
        <v>10</v>
      </c>
      <c r="N4" s="85"/>
      <c r="O4" s="289">
        <f>Deckblatt!C8</f>
        <v>0</v>
      </c>
      <c r="P4" s="85"/>
      <c r="Q4" s="75" t="s">
        <v>42</v>
      </c>
    </row>
    <row r="5" spans="1:17" s="86" customFormat="1" ht="25.2" customHeight="1" thickTop="1" thickBot="1" x14ac:dyDescent="0.35">
      <c r="A5" s="171" t="s">
        <v>52</v>
      </c>
      <c r="B5" s="74"/>
      <c r="C5" s="323"/>
      <c r="D5" s="324"/>
      <c r="E5" s="329"/>
      <c r="F5" s="88"/>
      <c r="G5" s="89" t="s">
        <v>52</v>
      </c>
      <c r="H5" s="66"/>
      <c r="I5" s="323"/>
      <c r="J5" s="324"/>
      <c r="K5" s="325"/>
      <c r="M5" s="87" t="s">
        <v>52</v>
      </c>
      <c r="N5" s="40"/>
      <c r="O5" s="323"/>
      <c r="P5" s="324"/>
      <c r="Q5" s="325"/>
    </row>
    <row r="6" spans="1:17" ht="19.95" customHeight="1" x14ac:dyDescent="0.3">
      <c r="A6" s="73" t="s">
        <v>46</v>
      </c>
      <c r="B6" s="63" t="s">
        <v>53</v>
      </c>
      <c r="C6" s="64" t="s">
        <v>3</v>
      </c>
      <c r="D6" s="64" t="s">
        <v>4</v>
      </c>
      <c r="E6" s="65" t="s">
        <v>47</v>
      </c>
      <c r="F6" s="91"/>
      <c r="G6" s="73" t="s">
        <v>46</v>
      </c>
      <c r="H6" s="63" t="s">
        <v>53</v>
      </c>
      <c r="I6" s="64" t="s">
        <v>3</v>
      </c>
      <c r="J6" s="64" t="s">
        <v>4</v>
      </c>
      <c r="K6" s="65" t="s">
        <v>47</v>
      </c>
      <c r="L6" s="92"/>
      <c r="M6" s="73" t="s">
        <v>46</v>
      </c>
      <c r="N6" s="63" t="s">
        <v>53</v>
      </c>
      <c r="O6" s="64" t="s">
        <v>3</v>
      </c>
      <c r="P6" s="64" t="s">
        <v>4</v>
      </c>
      <c r="Q6" s="65" t="s">
        <v>47</v>
      </c>
    </row>
    <row r="7" spans="1:17" ht="16.2" customHeight="1" x14ac:dyDescent="0.35">
      <c r="A7" s="172">
        <v>1</v>
      </c>
      <c r="B7" s="285" t="str">
        <f>IFERROR(INDEX(Teilnehmer[LfNr],_xlfn.AGGREGATE(15,6,ROW(Teilnehmer[LfNr])/((Teilnehmer[Großgruppe]=$E$4)),ROW()-6)-1,1),"")</f>
        <v/>
      </c>
      <c r="C7" s="95" t="str">
        <f>IFERROR(VLOOKUP(B7,Teilnehmer[],2,FALSE),"")</f>
        <v/>
      </c>
      <c r="D7" s="95" t="str">
        <f>IFERROR(VLOOKUP(B7,Teilnehmer[],3,FALSE),"")</f>
        <v/>
      </c>
      <c r="E7" s="96" t="str">
        <f>IFERROR(VLOOKUP(B7,Teilnehmer[],5,FALSE),"")</f>
        <v/>
      </c>
      <c r="F7" s="91"/>
      <c r="G7" s="172">
        <v>1</v>
      </c>
      <c r="H7" s="288" t="str">
        <f>IFERROR(INDEX(Teilnehmer[LfNr],_xlfn.AGGREGATE(15,6,ROW(Teilnehmer[LfNr])/((Teilnehmer[Großgruppe]=$K$4)),ROW()-6)-1,1),"")</f>
        <v/>
      </c>
      <c r="I7" s="95" t="str">
        <f>IFERROR(VLOOKUP(H7,Teilnehmer[],2,FALSE),"")</f>
        <v/>
      </c>
      <c r="J7" s="95" t="str">
        <f>IFERROR(VLOOKUP(H7,Teilnehmer[],3,FALSE),"")</f>
        <v/>
      </c>
      <c r="K7" s="96" t="str">
        <f>IFERROR(VLOOKUP(H7,Teilnehmer[],5,FALSE),"")</f>
        <v/>
      </c>
      <c r="L7" s="92"/>
      <c r="M7" s="173">
        <v>1</v>
      </c>
      <c r="N7" s="174" t="str">
        <f>IFERROR(INDEX(Teilnehmer[LfNr],_xlfn.AGGREGATE(15,6,ROW(Teilnehmer[LfNr])/((Teilnehmer[Großgruppe]=$Q$4)),ROW()-6)-1,1),"")</f>
        <v/>
      </c>
      <c r="O7" s="95" t="str">
        <f>IFERROR(VLOOKUP(N7,Teilnehmer[],2,FALSE),"")</f>
        <v/>
      </c>
      <c r="P7" s="95" t="str">
        <f>IFERROR(VLOOKUP(N7,Teilnehmer[],3,FALSE),"")</f>
        <v/>
      </c>
      <c r="Q7" s="96" t="str">
        <f>IFERROR(VLOOKUP(N7,Teilnehmer[],5,FALSE),"")</f>
        <v/>
      </c>
    </row>
    <row r="8" spans="1:17" ht="16.2" customHeight="1" x14ac:dyDescent="0.35">
      <c r="A8" s="172">
        <f>A7+1</f>
        <v>2</v>
      </c>
      <c r="B8" s="285" t="str">
        <f>IFERROR(INDEX(Teilnehmer[LfNr],_xlfn.AGGREGATE(15,6,ROW(Teilnehmer[LfNr])/((Teilnehmer[Großgruppe]=$E$4)),ROW()-6)-1,1),"")</f>
        <v/>
      </c>
      <c r="C8" s="95" t="str">
        <f>IFERROR(VLOOKUP(B8,Teilnehmer[],2,FALSE),"")</f>
        <v/>
      </c>
      <c r="D8" s="95" t="str">
        <f>IFERROR(VLOOKUP(B8,Teilnehmer[],3,FALSE),"")</f>
        <v/>
      </c>
      <c r="E8" s="96" t="str">
        <f>IFERROR(VLOOKUP(B8,Teilnehmer[],5,FALSE),"")</f>
        <v/>
      </c>
      <c r="F8" s="91"/>
      <c r="G8" s="172">
        <f>G7+1</f>
        <v>2</v>
      </c>
      <c r="H8" s="288" t="str">
        <f>IFERROR(INDEX(Teilnehmer[LfNr],_xlfn.AGGREGATE(15,6,ROW(Teilnehmer[LfNr])/((Teilnehmer[Großgruppe]=$K$4)),ROW()-6)-1,1),"")</f>
        <v/>
      </c>
      <c r="I8" s="95" t="str">
        <f>IFERROR(VLOOKUP(H8,Teilnehmer[],2,FALSE),"")</f>
        <v/>
      </c>
      <c r="J8" s="95" t="str">
        <f>IFERROR(VLOOKUP(H8,Teilnehmer[],3,FALSE),"")</f>
        <v/>
      </c>
      <c r="K8" s="96" t="str">
        <f>IFERROR(VLOOKUP(H8,Teilnehmer[],5,FALSE),"")</f>
        <v/>
      </c>
      <c r="L8" s="92"/>
      <c r="M8" s="173">
        <f>M7+1</f>
        <v>2</v>
      </c>
      <c r="N8" s="174" t="str">
        <f>IFERROR(INDEX(Teilnehmer[LfNr],_xlfn.AGGREGATE(15,6,ROW(Teilnehmer[LfNr])/((Teilnehmer[Großgruppe]=$Q$4)),ROW()-6)-1,1),"")</f>
        <v/>
      </c>
      <c r="O8" s="95" t="str">
        <f>IFERROR(VLOOKUP(N8,Teilnehmer[],2,FALSE),"")</f>
        <v/>
      </c>
      <c r="P8" s="95" t="str">
        <f>IFERROR(VLOOKUP(N8,Teilnehmer[],3,FALSE),"")</f>
        <v/>
      </c>
      <c r="Q8" s="96" t="str">
        <f>IFERROR(VLOOKUP(N8,Teilnehmer[],5,FALSE),"")</f>
        <v/>
      </c>
    </row>
    <row r="9" spans="1:17" ht="16.2" customHeight="1" x14ac:dyDescent="0.35">
      <c r="A9" s="172">
        <f t="shared" ref="A9:A33" si="0">A8+1</f>
        <v>3</v>
      </c>
      <c r="B9" s="285" t="str">
        <f>IFERROR(INDEX(Teilnehmer[LfNr],_xlfn.AGGREGATE(15,6,ROW(Teilnehmer[LfNr])/((Teilnehmer[Großgruppe]=$E$4)),ROW()-6)-1,1),"")</f>
        <v/>
      </c>
      <c r="C9" s="95" t="str">
        <f>IFERROR(VLOOKUP(B9,Teilnehmer[],2,FALSE),"")</f>
        <v/>
      </c>
      <c r="D9" s="95" t="str">
        <f>IFERROR(VLOOKUP(B9,Teilnehmer[],3,FALSE),"")</f>
        <v/>
      </c>
      <c r="E9" s="96" t="str">
        <f>IFERROR(VLOOKUP(B9,Teilnehmer[],5,FALSE),"")</f>
        <v/>
      </c>
      <c r="F9" s="91"/>
      <c r="G9" s="172">
        <f t="shared" ref="G9:G33" si="1">G8+1</f>
        <v>3</v>
      </c>
      <c r="H9" s="288" t="str">
        <f>IFERROR(INDEX(Teilnehmer[LfNr],_xlfn.AGGREGATE(15,6,ROW(Teilnehmer[LfNr])/((Teilnehmer[Großgruppe]=$K$4)),ROW()-6)-1,1),"")</f>
        <v/>
      </c>
      <c r="I9" s="95" t="str">
        <f>IFERROR(VLOOKUP(H9,Teilnehmer[],2,FALSE),"")</f>
        <v/>
      </c>
      <c r="J9" s="95" t="str">
        <f>IFERROR(VLOOKUP(H9,Teilnehmer[],3,FALSE),"")</f>
        <v/>
      </c>
      <c r="K9" s="96" t="str">
        <f>IFERROR(VLOOKUP(H9,Teilnehmer[],5,FALSE),"")</f>
        <v/>
      </c>
      <c r="L9" s="92"/>
      <c r="M9" s="173">
        <f t="shared" ref="M9:M33" si="2">M8+1</f>
        <v>3</v>
      </c>
      <c r="N9" s="174" t="str">
        <f>IFERROR(INDEX(Teilnehmer[LfNr],_xlfn.AGGREGATE(15,6,ROW(Teilnehmer[LfNr])/((Teilnehmer[Großgruppe]=$Q$4)),ROW()-6)-1,1),"")</f>
        <v/>
      </c>
      <c r="O9" s="95" t="str">
        <f>IFERROR(VLOOKUP(N9,Teilnehmer[],2,FALSE),"")</f>
        <v/>
      </c>
      <c r="P9" s="95" t="str">
        <f>IFERROR(VLOOKUP(N9,Teilnehmer[],3,FALSE),"")</f>
        <v/>
      </c>
      <c r="Q9" s="96" t="str">
        <f>IFERROR(VLOOKUP(N9,Teilnehmer[],5,FALSE),"")</f>
        <v/>
      </c>
    </row>
    <row r="10" spans="1:17" ht="16.2" customHeight="1" x14ac:dyDescent="0.35">
      <c r="A10" s="172">
        <f t="shared" si="0"/>
        <v>4</v>
      </c>
      <c r="B10" s="285" t="str">
        <f>IFERROR(INDEX(Teilnehmer[LfNr],_xlfn.AGGREGATE(15,6,ROW(Teilnehmer[LfNr])/((Teilnehmer[Großgruppe]=$E$4)),ROW()-6)-1,1),"")</f>
        <v/>
      </c>
      <c r="C10" s="95" t="str">
        <f>IFERROR(VLOOKUP(B10,Teilnehmer[],2,FALSE),"")</f>
        <v/>
      </c>
      <c r="D10" s="95" t="str">
        <f>IFERROR(VLOOKUP(B10,Teilnehmer[],3,FALSE),"")</f>
        <v/>
      </c>
      <c r="E10" s="96" t="str">
        <f>IFERROR(VLOOKUP(B10,Teilnehmer[],5,FALSE),"")</f>
        <v/>
      </c>
      <c r="F10" s="91"/>
      <c r="G10" s="172">
        <f t="shared" si="1"/>
        <v>4</v>
      </c>
      <c r="H10" s="288" t="str">
        <f>IFERROR(INDEX(Teilnehmer[LfNr],_xlfn.AGGREGATE(15,6,ROW(Teilnehmer[LfNr])/((Teilnehmer[Großgruppe]=$K$4)),ROW()-6)-1,1),"")</f>
        <v/>
      </c>
      <c r="I10" s="95" t="str">
        <f>IFERROR(VLOOKUP(H10,Teilnehmer[],2,FALSE),"")</f>
        <v/>
      </c>
      <c r="J10" s="95" t="str">
        <f>IFERROR(VLOOKUP(H10,Teilnehmer[],3,FALSE),"")</f>
        <v/>
      </c>
      <c r="K10" s="96" t="str">
        <f>IFERROR(VLOOKUP(H10,Teilnehmer[],5,FALSE),"")</f>
        <v/>
      </c>
      <c r="L10" s="92"/>
      <c r="M10" s="173">
        <f t="shared" si="2"/>
        <v>4</v>
      </c>
      <c r="N10" s="174" t="str">
        <f>IFERROR(INDEX(Teilnehmer[LfNr],_xlfn.AGGREGATE(15,6,ROW(Teilnehmer[LfNr])/((Teilnehmer[Großgruppe]=$Q$4)),ROW()-6)-1,1),"")</f>
        <v/>
      </c>
      <c r="O10" s="95" t="str">
        <f>IFERROR(VLOOKUP(N10,Teilnehmer[],2,FALSE),"")</f>
        <v/>
      </c>
      <c r="P10" s="95" t="str">
        <f>IFERROR(VLOOKUP(N10,Teilnehmer[],3,FALSE),"")</f>
        <v/>
      </c>
      <c r="Q10" s="96" t="str">
        <f>IFERROR(VLOOKUP(N10,Teilnehmer[],5,FALSE),"")</f>
        <v/>
      </c>
    </row>
    <row r="11" spans="1:17" ht="16.2" customHeight="1" x14ac:dyDescent="0.35">
      <c r="A11" s="172">
        <f t="shared" si="0"/>
        <v>5</v>
      </c>
      <c r="B11" s="285" t="str">
        <f>IFERROR(INDEX(Teilnehmer[LfNr],_xlfn.AGGREGATE(15,6,ROW(Teilnehmer[LfNr])/((Teilnehmer[Großgruppe]=$E$4)),ROW()-6)-1,1),"")</f>
        <v/>
      </c>
      <c r="C11" s="95" t="str">
        <f>IFERROR(VLOOKUP(B11,Teilnehmer[],2,FALSE),"")</f>
        <v/>
      </c>
      <c r="D11" s="95" t="str">
        <f>IFERROR(VLOOKUP(B11,Teilnehmer[],3,FALSE),"")</f>
        <v/>
      </c>
      <c r="E11" s="96" t="str">
        <f>IFERROR(VLOOKUP(B11,Teilnehmer[],5,FALSE),"")</f>
        <v/>
      </c>
      <c r="F11" s="91"/>
      <c r="G11" s="172">
        <f t="shared" si="1"/>
        <v>5</v>
      </c>
      <c r="H11" s="288" t="str">
        <f>IFERROR(INDEX(Teilnehmer[LfNr],_xlfn.AGGREGATE(15,6,ROW(Teilnehmer[LfNr])/((Teilnehmer[Großgruppe]=$K$4)),ROW()-6)-1,1),"")</f>
        <v/>
      </c>
      <c r="I11" s="95" t="str">
        <f>IFERROR(VLOOKUP(H11,Teilnehmer[],2,FALSE),"")</f>
        <v/>
      </c>
      <c r="J11" s="95" t="str">
        <f>IFERROR(VLOOKUP(H11,Teilnehmer[],3,FALSE),"")</f>
        <v/>
      </c>
      <c r="K11" s="96" t="str">
        <f>IFERROR(VLOOKUP(H11,Teilnehmer[],5,FALSE),"")</f>
        <v/>
      </c>
      <c r="L11" s="92"/>
      <c r="M11" s="173">
        <f t="shared" si="2"/>
        <v>5</v>
      </c>
      <c r="N11" s="174" t="str">
        <f>IFERROR(INDEX(Teilnehmer[LfNr],_xlfn.AGGREGATE(15,6,ROW(Teilnehmer[LfNr])/((Teilnehmer[Großgruppe]=$Q$4)),ROW()-6)-1,1),"")</f>
        <v/>
      </c>
      <c r="O11" s="95" t="str">
        <f>IFERROR(VLOOKUP(N11,Teilnehmer[],2,FALSE),"")</f>
        <v/>
      </c>
      <c r="P11" s="95" t="str">
        <f>IFERROR(VLOOKUP(N11,Teilnehmer[],3,FALSE),"")</f>
        <v/>
      </c>
      <c r="Q11" s="96" t="str">
        <f>IFERROR(VLOOKUP(N11,Teilnehmer[],5,FALSE),"")</f>
        <v/>
      </c>
    </row>
    <row r="12" spans="1:17" ht="16.2" customHeight="1" x14ac:dyDescent="0.35">
      <c r="A12" s="172">
        <f t="shared" si="0"/>
        <v>6</v>
      </c>
      <c r="B12" s="285" t="str">
        <f>IFERROR(INDEX(Teilnehmer[LfNr],_xlfn.AGGREGATE(15,6,ROW(Teilnehmer[LfNr])/((Teilnehmer[Großgruppe]=$E$4)),ROW()-6)-1,1),"")</f>
        <v/>
      </c>
      <c r="C12" s="95" t="str">
        <f>IFERROR(VLOOKUP(B12,Teilnehmer[],2,FALSE),"")</f>
        <v/>
      </c>
      <c r="D12" s="95" t="str">
        <f>IFERROR(VLOOKUP(B12,Teilnehmer[],3,FALSE),"")</f>
        <v/>
      </c>
      <c r="E12" s="96" t="str">
        <f>IFERROR(VLOOKUP(B12,Teilnehmer[],5,FALSE),"")</f>
        <v/>
      </c>
      <c r="F12" s="91"/>
      <c r="G12" s="172">
        <f t="shared" si="1"/>
        <v>6</v>
      </c>
      <c r="H12" s="288" t="str">
        <f>IFERROR(INDEX(Teilnehmer[LfNr],_xlfn.AGGREGATE(15,6,ROW(Teilnehmer[LfNr])/((Teilnehmer[Großgruppe]=$K$4)),ROW()-6)-1,1),"")</f>
        <v/>
      </c>
      <c r="I12" s="95" t="str">
        <f>IFERROR(VLOOKUP(H12,Teilnehmer[],2,FALSE),"")</f>
        <v/>
      </c>
      <c r="J12" s="95" t="str">
        <f>IFERROR(VLOOKUP(H12,Teilnehmer[],3,FALSE),"")</f>
        <v/>
      </c>
      <c r="K12" s="96" t="str">
        <f>IFERROR(VLOOKUP(H12,Teilnehmer[],5,FALSE),"")</f>
        <v/>
      </c>
      <c r="L12" s="92"/>
      <c r="M12" s="173">
        <f t="shared" si="2"/>
        <v>6</v>
      </c>
      <c r="N12" s="174" t="str">
        <f>IFERROR(INDEX(Teilnehmer[LfNr],_xlfn.AGGREGATE(15,6,ROW(Teilnehmer[LfNr])/((Teilnehmer[Großgruppe]=$Q$4)),ROW()-6)-1,1),"")</f>
        <v/>
      </c>
      <c r="O12" s="95" t="str">
        <f>IFERROR(VLOOKUP(N12,Teilnehmer[],2,FALSE),"")</f>
        <v/>
      </c>
      <c r="P12" s="95" t="str">
        <f>IFERROR(VLOOKUP(N12,Teilnehmer[],3,FALSE),"")</f>
        <v/>
      </c>
      <c r="Q12" s="96" t="str">
        <f>IFERROR(VLOOKUP(N12,Teilnehmer[],5,FALSE),"")</f>
        <v/>
      </c>
    </row>
    <row r="13" spans="1:17" ht="16.2" customHeight="1" x14ac:dyDescent="0.35">
      <c r="A13" s="172">
        <f t="shared" si="0"/>
        <v>7</v>
      </c>
      <c r="B13" s="285" t="str">
        <f>IFERROR(INDEX(Teilnehmer[LfNr],_xlfn.AGGREGATE(15,6,ROW(Teilnehmer[LfNr])/((Teilnehmer[Großgruppe]=$E$4)),ROW()-6)-1,1),"")</f>
        <v/>
      </c>
      <c r="C13" s="95" t="str">
        <f>IFERROR(VLOOKUP(B13,Teilnehmer[],2,FALSE),"")</f>
        <v/>
      </c>
      <c r="D13" s="95" t="str">
        <f>IFERROR(VLOOKUP(B13,Teilnehmer[],3,FALSE),"")</f>
        <v/>
      </c>
      <c r="E13" s="96" t="str">
        <f>IFERROR(VLOOKUP(B13,Teilnehmer[],5,FALSE),"")</f>
        <v/>
      </c>
      <c r="F13" s="91"/>
      <c r="G13" s="172">
        <f t="shared" si="1"/>
        <v>7</v>
      </c>
      <c r="H13" s="288" t="str">
        <f>IFERROR(INDEX(Teilnehmer[LfNr],_xlfn.AGGREGATE(15,6,ROW(Teilnehmer[LfNr])/((Teilnehmer[Großgruppe]=$K$4)),ROW()-6)-1,1),"")</f>
        <v/>
      </c>
      <c r="I13" s="95" t="str">
        <f>IFERROR(VLOOKUP(H13,Teilnehmer[],2,FALSE),"")</f>
        <v/>
      </c>
      <c r="J13" s="95" t="str">
        <f>IFERROR(VLOOKUP(H13,Teilnehmer[],3,FALSE),"")</f>
        <v/>
      </c>
      <c r="K13" s="96" t="str">
        <f>IFERROR(VLOOKUP(H13,Teilnehmer[],5,FALSE),"")</f>
        <v/>
      </c>
      <c r="L13" s="92"/>
      <c r="M13" s="173">
        <f t="shared" si="2"/>
        <v>7</v>
      </c>
      <c r="N13" s="174" t="str">
        <f>IFERROR(INDEX(Teilnehmer[LfNr],_xlfn.AGGREGATE(15,6,ROW(Teilnehmer[LfNr])/((Teilnehmer[Großgruppe]=$Q$4)),ROW()-6)-1,1),"")</f>
        <v/>
      </c>
      <c r="O13" s="95" t="str">
        <f>IFERROR(VLOOKUP(N13,Teilnehmer[],2,FALSE),"")</f>
        <v/>
      </c>
      <c r="P13" s="95" t="str">
        <f>IFERROR(VLOOKUP(N13,Teilnehmer[],3,FALSE),"")</f>
        <v/>
      </c>
      <c r="Q13" s="96" t="str">
        <f>IFERROR(VLOOKUP(N13,Teilnehmer[],5,FALSE),"")</f>
        <v/>
      </c>
    </row>
    <row r="14" spans="1:17" ht="16.2" customHeight="1" x14ac:dyDescent="0.35">
      <c r="A14" s="172">
        <f t="shared" si="0"/>
        <v>8</v>
      </c>
      <c r="B14" s="285" t="str">
        <f>IFERROR(INDEX(Teilnehmer[LfNr],_xlfn.AGGREGATE(15,6,ROW(Teilnehmer[LfNr])/((Teilnehmer[Großgruppe]=$E$4)),ROW()-6)-1,1),"")</f>
        <v/>
      </c>
      <c r="C14" s="95" t="str">
        <f>IFERROR(VLOOKUP(B14,Teilnehmer[],2,FALSE),"")</f>
        <v/>
      </c>
      <c r="D14" s="95" t="str">
        <f>IFERROR(VLOOKUP(B14,Teilnehmer[],3,FALSE),"")</f>
        <v/>
      </c>
      <c r="E14" s="96" t="str">
        <f>IFERROR(VLOOKUP(B14,Teilnehmer[],5,FALSE),"")</f>
        <v/>
      </c>
      <c r="F14" s="91"/>
      <c r="G14" s="172">
        <f t="shared" si="1"/>
        <v>8</v>
      </c>
      <c r="H14" s="288" t="str">
        <f>IFERROR(INDEX(Teilnehmer[LfNr],_xlfn.AGGREGATE(15,6,ROW(Teilnehmer[LfNr])/((Teilnehmer[Großgruppe]=$K$4)),ROW()-6)-1,1),"")</f>
        <v/>
      </c>
      <c r="I14" s="95" t="str">
        <f>IFERROR(VLOOKUP(H14,Teilnehmer[],2,FALSE),"")</f>
        <v/>
      </c>
      <c r="J14" s="95" t="str">
        <f>IFERROR(VLOOKUP(H14,Teilnehmer[],3,FALSE),"")</f>
        <v/>
      </c>
      <c r="K14" s="96" t="str">
        <f>IFERROR(VLOOKUP(H14,Teilnehmer[],5,FALSE),"")</f>
        <v/>
      </c>
      <c r="L14" s="92"/>
      <c r="M14" s="173">
        <f t="shared" si="2"/>
        <v>8</v>
      </c>
      <c r="N14" s="174" t="str">
        <f>IFERROR(INDEX(Teilnehmer[LfNr],_xlfn.AGGREGATE(15,6,ROW(Teilnehmer[LfNr])/((Teilnehmer[Großgruppe]=$Q$4)),ROW()-6)-1,1),"")</f>
        <v/>
      </c>
      <c r="O14" s="95" t="str">
        <f>IFERROR(VLOOKUP(N14,Teilnehmer[],2,FALSE),"")</f>
        <v/>
      </c>
      <c r="P14" s="95" t="str">
        <f>IFERROR(VLOOKUP(N14,Teilnehmer[],3,FALSE),"")</f>
        <v/>
      </c>
      <c r="Q14" s="96" t="str">
        <f>IFERROR(VLOOKUP(N14,Teilnehmer[],5,FALSE),"")</f>
        <v/>
      </c>
    </row>
    <row r="15" spans="1:17" ht="16.2" customHeight="1" x14ac:dyDescent="0.35">
      <c r="A15" s="172">
        <f t="shared" si="0"/>
        <v>9</v>
      </c>
      <c r="B15" s="285" t="str">
        <f>IFERROR(INDEX(Teilnehmer[LfNr],_xlfn.AGGREGATE(15,6,ROW(Teilnehmer[LfNr])/((Teilnehmer[Großgruppe]=$E$4)),ROW()-6)-1,1),"")</f>
        <v/>
      </c>
      <c r="C15" s="95" t="str">
        <f>IFERROR(VLOOKUP(B15,Teilnehmer[],2,FALSE),"")</f>
        <v/>
      </c>
      <c r="D15" s="95" t="str">
        <f>IFERROR(VLOOKUP(B15,Teilnehmer[],3,FALSE),"")</f>
        <v/>
      </c>
      <c r="E15" s="96" t="str">
        <f>IFERROR(VLOOKUP(B15,Teilnehmer[],5,FALSE),"")</f>
        <v/>
      </c>
      <c r="F15" s="91"/>
      <c r="G15" s="172">
        <f t="shared" si="1"/>
        <v>9</v>
      </c>
      <c r="H15" s="288" t="str">
        <f>IFERROR(INDEX(Teilnehmer[LfNr],_xlfn.AGGREGATE(15,6,ROW(Teilnehmer[LfNr])/((Teilnehmer[Großgruppe]=$K$4)),ROW()-6)-1,1),"")</f>
        <v/>
      </c>
      <c r="I15" s="95" t="str">
        <f>IFERROR(VLOOKUP(H15,Teilnehmer[],2,FALSE),"")</f>
        <v/>
      </c>
      <c r="J15" s="95" t="str">
        <f>IFERROR(VLOOKUP(H15,Teilnehmer[],3,FALSE),"")</f>
        <v/>
      </c>
      <c r="K15" s="96" t="str">
        <f>IFERROR(VLOOKUP(H15,Teilnehmer[],5,FALSE),"")</f>
        <v/>
      </c>
      <c r="L15" s="92"/>
      <c r="M15" s="173">
        <f t="shared" si="2"/>
        <v>9</v>
      </c>
      <c r="N15" s="174" t="str">
        <f>IFERROR(INDEX(Teilnehmer[LfNr],_xlfn.AGGREGATE(15,6,ROW(Teilnehmer[LfNr])/((Teilnehmer[Großgruppe]=$Q$4)),ROW()-6)-1,1),"")</f>
        <v/>
      </c>
      <c r="O15" s="95" t="str">
        <f>IFERROR(VLOOKUP(N15,Teilnehmer[],2,FALSE),"")</f>
        <v/>
      </c>
      <c r="P15" s="95" t="str">
        <f>IFERROR(VLOOKUP(N15,Teilnehmer[],3,FALSE),"")</f>
        <v/>
      </c>
      <c r="Q15" s="96" t="str">
        <f>IFERROR(VLOOKUP(N15,Teilnehmer[],5,FALSE),"")</f>
        <v/>
      </c>
    </row>
    <row r="16" spans="1:17" ht="16.2" customHeight="1" x14ac:dyDescent="0.35">
      <c r="A16" s="172">
        <f t="shared" si="0"/>
        <v>10</v>
      </c>
      <c r="B16" s="285" t="str">
        <f>IFERROR(INDEX(Teilnehmer[LfNr],_xlfn.AGGREGATE(15,6,ROW(Teilnehmer[LfNr])/((Teilnehmer[Großgruppe]=$E$4)),ROW()-6)-1,1),"")</f>
        <v/>
      </c>
      <c r="C16" s="95" t="str">
        <f>IFERROR(VLOOKUP(B16,Teilnehmer[],2,FALSE),"")</f>
        <v/>
      </c>
      <c r="D16" s="95" t="str">
        <f>IFERROR(VLOOKUP(B16,Teilnehmer[],3,FALSE),"")</f>
        <v/>
      </c>
      <c r="E16" s="96" t="str">
        <f>IFERROR(VLOOKUP(B16,Teilnehmer[],5,FALSE),"")</f>
        <v/>
      </c>
      <c r="F16" s="91"/>
      <c r="G16" s="172">
        <f t="shared" si="1"/>
        <v>10</v>
      </c>
      <c r="H16" s="288" t="str">
        <f>IFERROR(INDEX(Teilnehmer[LfNr],_xlfn.AGGREGATE(15,6,ROW(Teilnehmer[LfNr])/((Teilnehmer[Großgruppe]=$K$4)),ROW()-6)-1,1),"")</f>
        <v/>
      </c>
      <c r="I16" s="95" t="str">
        <f>IFERROR(VLOOKUP(H16,Teilnehmer[],2,FALSE),"")</f>
        <v/>
      </c>
      <c r="J16" s="95" t="str">
        <f>IFERROR(VLOOKUP(H16,Teilnehmer[],3,FALSE),"")</f>
        <v/>
      </c>
      <c r="K16" s="96" t="str">
        <f>IFERROR(VLOOKUP(H16,Teilnehmer[],5,FALSE),"")</f>
        <v/>
      </c>
      <c r="L16" s="92"/>
      <c r="M16" s="173">
        <f t="shared" si="2"/>
        <v>10</v>
      </c>
      <c r="N16" s="174" t="str">
        <f>IFERROR(INDEX(Teilnehmer[LfNr],_xlfn.AGGREGATE(15,6,ROW(Teilnehmer[LfNr])/((Teilnehmer[Großgruppe]=$Q$4)),ROW()-6)-1,1),"")</f>
        <v/>
      </c>
      <c r="O16" s="95" t="str">
        <f>IFERROR(VLOOKUP(N16,Teilnehmer[],2,FALSE),"")</f>
        <v/>
      </c>
      <c r="P16" s="95" t="str">
        <f>IFERROR(VLOOKUP(N16,Teilnehmer[],3,FALSE),"")</f>
        <v/>
      </c>
      <c r="Q16" s="96" t="str">
        <f>IFERROR(VLOOKUP(N16,Teilnehmer[],5,FALSE),"")</f>
        <v/>
      </c>
    </row>
    <row r="17" spans="1:17" ht="16.2" customHeight="1" x14ac:dyDescent="0.35">
      <c r="A17" s="172">
        <f t="shared" si="0"/>
        <v>11</v>
      </c>
      <c r="B17" s="286" t="str">
        <f>IFERROR(INDEX(Teilnehmer[LfNr],_xlfn.AGGREGATE(15,6,ROW(Teilnehmer[LfNr])/((Teilnehmer[Großgruppe]=$E$4)),ROW()-6)-1,1),"")</f>
        <v/>
      </c>
      <c r="C17" s="107" t="str">
        <f>IFERROR(VLOOKUP(B17,Teilnehmer[],2,FALSE),"")</f>
        <v/>
      </c>
      <c r="D17" s="107" t="str">
        <f>IFERROR(VLOOKUP(B17,Teilnehmer[],3,FALSE),"")</f>
        <v/>
      </c>
      <c r="E17" s="175" t="str">
        <f>IFERROR(VLOOKUP(B17,Teilnehmer[],5,FALSE),"")</f>
        <v/>
      </c>
      <c r="G17" s="172">
        <f t="shared" si="1"/>
        <v>11</v>
      </c>
      <c r="H17" s="288" t="str">
        <f>IFERROR(INDEX(Teilnehmer[LfNr],_xlfn.AGGREGATE(15,6,ROW(Teilnehmer[LfNr])/((Teilnehmer[Großgruppe]=$K$4)),ROW()-6)-1,1),"")</f>
        <v/>
      </c>
      <c r="I17" s="107" t="str">
        <f>IFERROR(VLOOKUP(H17,Teilnehmer[],2,FALSE),"")</f>
        <v/>
      </c>
      <c r="J17" s="107" t="str">
        <f>IFERROR(VLOOKUP(H17,Teilnehmer[],3,FALSE),"")</f>
        <v/>
      </c>
      <c r="K17" s="175" t="str">
        <f>IFERROR(VLOOKUP(H17,Teilnehmer[],5,FALSE),"")</f>
        <v/>
      </c>
      <c r="M17" s="173">
        <f t="shared" si="2"/>
        <v>11</v>
      </c>
      <c r="N17" s="174" t="str">
        <f>IFERROR(INDEX(Teilnehmer[LfNr],_xlfn.AGGREGATE(15,6,ROW(Teilnehmer[LfNr])/((Teilnehmer[Großgruppe]=$Q$4)),ROW()-6)-1,1),"")</f>
        <v/>
      </c>
      <c r="O17" s="95" t="str">
        <f>IFERROR(VLOOKUP(N17,Teilnehmer[],2,FALSE),"")</f>
        <v/>
      </c>
      <c r="P17" s="95" t="str">
        <f>IFERROR(VLOOKUP(N17,Teilnehmer[],3,FALSE),"")</f>
        <v/>
      </c>
      <c r="Q17" s="96" t="str">
        <f>IFERROR(VLOOKUP(N17,Teilnehmer[],5,FALSE),"")</f>
        <v/>
      </c>
    </row>
    <row r="18" spans="1:17" ht="16.2" customHeight="1" x14ac:dyDescent="0.35">
      <c r="A18" s="172">
        <f t="shared" si="0"/>
        <v>12</v>
      </c>
      <c r="B18" s="286" t="str">
        <f>IFERROR(INDEX(Teilnehmer[LfNr],_xlfn.AGGREGATE(15,6,ROW(Teilnehmer[LfNr])/((Teilnehmer[Großgruppe]=$E$4)),ROW()-6)-1,1),"")</f>
        <v/>
      </c>
      <c r="C18" s="107" t="str">
        <f>IFERROR(VLOOKUP(B18,Teilnehmer[],2,FALSE),"")</f>
        <v/>
      </c>
      <c r="D18" s="107" t="str">
        <f>IFERROR(VLOOKUP(B18,Teilnehmer[],3,FALSE),"")</f>
        <v/>
      </c>
      <c r="E18" s="175" t="str">
        <f>IFERROR(VLOOKUP(B18,Teilnehmer[],5,FALSE),"")</f>
        <v/>
      </c>
      <c r="F18" s="79"/>
      <c r="G18" s="172">
        <f t="shared" si="1"/>
        <v>12</v>
      </c>
      <c r="H18" s="288" t="str">
        <f>IFERROR(INDEX(Teilnehmer[LfNr],_xlfn.AGGREGATE(15,6,ROW(Teilnehmer[LfNr])/((Teilnehmer[Großgruppe]=$K$4)),ROW()-6)-1,1),"")</f>
        <v/>
      </c>
      <c r="I18" s="107" t="str">
        <f>IFERROR(VLOOKUP(H18,Teilnehmer[],2,FALSE),"")</f>
        <v/>
      </c>
      <c r="J18" s="107" t="str">
        <f>IFERROR(VLOOKUP(H18,Teilnehmer[],3,FALSE),"")</f>
        <v/>
      </c>
      <c r="K18" s="175" t="str">
        <f>IFERROR(VLOOKUP(H18,Teilnehmer[],5,FALSE),"")</f>
        <v/>
      </c>
      <c r="M18" s="173">
        <f t="shared" si="2"/>
        <v>12</v>
      </c>
      <c r="N18" s="174" t="str">
        <f>IFERROR(INDEX(Teilnehmer[LfNr],_xlfn.AGGREGATE(15,6,ROW(Teilnehmer[LfNr])/((Teilnehmer[Großgruppe]=$Q$4)),ROW()-6)-1,1),"")</f>
        <v/>
      </c>
      <c r="O18" s="95" t="str">
        <f>IFERROR(VLOOKUP(N18,Teilnehmer[],2,FALSE),"")</f>
        <v/>
      </c>
      <c r="P18" s="95" t="str">
        <f>IFERROR(VLOOKUP(N18,Teilnehmer[],3,FALSE),"")</f>
        <v/>
      </c>
      <c r="Q18" s="96" t="str">
        <f>IFERROR(VLOOKUP(N18,Teilnehmer[],5,FALSE),"")</f>
        <v/>
      </c>
    </row>
    <row r="19" spans="1:17" ht="16.2" customHeight="1" x14ac:dyDescent="0.35">
      <c r="A19" s="172">
        <f t="shared" si="0"/>
        <v>13</v>
      </c>
      <c r="B19" s="286" t="str">
        <f>IFERROR(INDEX(Teilnehmer[LfNr],_xlfn.AGGREGATE(15,6,ROW(Teilnehmer[LfNr])/((Teilnehmer[Großgruppe]=$E$4)),ROW()-6)-1,1),"")</f>
        <v/>
      </c>
      <c r="C19" s="107" t="str">
        <f>IFERROR(VLOOKUP(B19,Teilnehmer[],2,FALSE),"")</f>
        <v/>
      </c>
      <c r="D19" s="107" t="str">
        <f>IFERROR(VLOOKUP(B19,Teilnehmer[],3,FALSE),"")</f>
        <v/>
      </c>
      <c r="E19" s="175" t="str">
        <f>IFERROR(VLOOKUP(B19,Teilnehmer[],5,FALSE),"")</f>
        <v/>
      </c>
      <c r="F19" s="88"/>
      <c r="G19" s="172">
        <f t="shared" si="1"/>
        <v>13</v>
      </c>
      <c r="H19" s="288" t="str">
        <f>IFERROR(INDEX(Teilnehmer[LfNr],_xlfn.AGGREGATE(15,6,ROW(Teilnehmer[LfNr])/((Teilnehmer[Großgruppe]=$K$4)),ROW()-6)-1,1),"")</f>
        <v/>
      </c>
      <c r="I19" s="107" t="str">
        <f>IFERROR(VLOOKUP(H19,Teilnehmer[],2,FALSE),"")</f>
        <v/>
      </c>
      <c r="J19" s="107" t="str">
        <f>IFERROR(VLOOKUP(H19,Teilnehmer[],3,FALSE),"")</f>
        <v/>
      </c>
      <c r="K19" s="175" t="str">
        <f>IFERROR(VLOOKUP(H19,Teilnehmer[],5,FALSE),"")</f>
        <v/>
      </c>
      <c r="M19" s="173">
        <f t="shared" si="2"/>
        <v>13</v>
      </c>
      <c r="N19" s="174" t="str">
        <f>IFERROR(INDEX(Teilnehmer[LfNr],_xlfn.AGGREGATE(15,6,ROW(Teilnehmer[LfNr])/((Teilnehmer[Großgruppe]=$Q$4)),ROW()-6)-1,1),"")</f>
        <v/>
      </c>
      <c r="O19" s="95" t="str">
        <f>IFERROR(VLOOKUP(N19,Teilnehmer[],2,FALSE),"")</f>
        <v/>
      </c>
      <c r="P19" s="95" t="str">
        <f>IFERROR(VLOOKUP(N19,Teilnehmer[],3,FALSE),"")</f>
        <v/>
      </c>
      <c r="Q19" s="96" t="str">
        <f>IFERROR(VLOOKUP(N19,Teilnehmer[],5,FALSE),"")</f>
        <v/>
      </c>
    </row>
    <row r="20" spans="1:17" ht="16.2" customHeight="1" x14ac:dyDescent="0.35">
      <c r="A20" s="172">
        <f t="shared" si="0"/>
        <v>14</v>
      </c>
      <c r="B20" s="286" t="str">
        <f>IFERROR(INDEX(Teilnehmer[LfNr],_xlfn.AGGREGATE(15,6,ROW(Teilnehmer[LfNr])/((Teilnehmer[Großgruppe]=$E$4)),ROW()-6)-1,1),"")</f>
        <v/>
      </c>
      <c r="C20" s="107" t="str">
        <f>IFERROR(VLOOKUP(B20,Teilnehmer[],2,FALSE),"")</f>
        <v/>
      </c>
      <c r="D20" s="107" t="str">
        <f>IFERROR(VLOOKUP(B20,Teilnehmer[],3,FALSE),"")</f>
        <v/>
      </c>
      <c r="E20" s="175" t="str">
        <f>IFERROR(VLOOKUP(B20,Teilnehmer[],5,FALSE),"")</f>
        <v/>
      </c>
      <c r="F20" s="91"/>
      <c r="G20" s="172">
        <f t="shared" si="1"/>
        <v>14</v>
      </c>
      <c r="H20" s="288" t="str">
        <f>IFERROR(INDEX(Teilnehmer[LfNr],_xlfn.AGGREGATE(15,6,ROW(Teilnehmer[LfNr])/((Teilnehmer[Großgruppe]=$K$4)),ROW()-6)-1,1),"")</f>
        <v/>
      </c>
      <c r="I20" s="107" t="str">
        <f>IFERROR(VLOOKUP(H20,Teilnehmer[],2,FALSE),"")</f>
        <v/>
      </c>
      <c r="J20" s="107" t="str">
        <f>IFERROR(VLOOKUP(H20,Teilnehmer[],3,FALSE),"")</f>
        <v/>
      </c>
      <c r="K20" s="175" t="str">
        <f>IFERROR(VLOOKUP(H20,Teilnehmer[],5,FALSE),"")</f>
        <v/>
      </c>
      <c r="M20" s="173">
        <f t="shared" si="2"/>
        <v>14</v>
      </c>
      <c r="N20" s="174" t="str">
        <f>IFERROR(INDEX(Teilnehmer[LfNr],_xlfn.AGGREGATE(15,6,ROW(Teilnehmer[LfNr])/((Teilnehmer[Großgruppe]=$Q$4)),ROW()-6)-1,1),"")</f>
        <v/>
      </c>
      <c r="O20" s="95" t="str">
        <f>IFERROR(VLOOKUP(N20,Teilnehmer[],2,FALSE),"")</f>
        <v/>
      </c>
      <c r="P20" s="95" t="str">
        <f>IFERROR(VLOOKUP(N20,Teilnehmer[],3,FALSE),"")</f>
        <v/>
      </c>
      <c r="Q20" s="96" t="str">
        <f>IFERROR(VLOOKUP(N20,Teilnehmer[],5,FALSE),"")</f>
        <v/>
      </c>
    </row>
    <row r="21" spans="1:17" ht="16.2" customHeight="1" x14ac:dyDescent="0.35">
      <c r="A21" s="172">
        <f t="shared" si="0"/>
        <v>15</v>
      </c>
      <c r="B21" s="286" t="str">
        <f>IFERROR(INDEX(Teilnehmer[LfNr],_xlfn.AGGREGATE(15,6,ROW(Teilnehmer[LfNr])/((Teilnehmer[Großgruppe]=$E$4)),ROW()-6)-1,1),"")</f>
        <v/>
      </c>
      <c r="C21" s="107" t="str">
        <f>IFERROR(VLOOKUP(B21,Teilnehmer[],2,FALSE),"")</f>
        <v/>
      </c>
      <c r="D21" s="107" t="str">
        <f>IFERROR(VLOOKUP(B21,Teilnehmer[],3,FALSE),"")</f>
        <v/>
      </c>
      <c r="E21" s="175" t="str">
        <f>IFERROR(VLOOKUP(B21,Teilnehmer[],5,FALSE),"")</f>
        <v/>
      </c>
      <c r="F21" s="91"/>
      <c r="G21" s="172">
        <f t="shared" si="1"/>
        <v>15</v>
      </c>
      <c r="H21" s="288" t="str">
        <f>IFERROR(INDEX(Teilnehmer[LfNr],_xlfn.AGGREGATE(15,6,ROW(Teilnehmer[LfNr])/((Teilnehmer[Großgruppe]=$K$4)),ROW()-6)-1,1),"")</f>
        <v/>
      </c>
      <c r="I21" s="107" t="str">
        <f>IFERROR(VLOOKUP(H21,Teilnehmer[],2,FALSE),"")</f>
        <v/>
      </c>
      <c r="J21" s="107" t="str">
        <f>IFERROR(VLOOKUP(H21,Teilnehmer[],3,FALSE),"")</f>
        <v/>
      </c>
      <c r="K21" s="175" t="str">
        <f>IFERROR(VLOOKUP(H21,Teilnehmer[],5,FALSE),"")</f>
        <v/>
      </c>
      <c r="M21" s="173">
        <f t="shared" si="2"/>
        <v>15</v>
      </c>
      <c r="N21" s="174" t="str">
        <f>IFERROR(INDEX(Teilnehmer[LfNr],_xlfn.AGGREGATE(15,6,ROW(Teilnehmer[LfNr])/((Teilnehmer[Großgruppe]=$Q$4)),ROW()-6)-1,1),"")</f>
        <v/>
      </c>
      <c r="O21" s="95" t="str">
        <f>IFERROR(VLOOKUP(N21,Teilnehmer[],2,FALSE),"")</f>
        <v/>
      </c>
      <c r="P21" s="95" t="str">
        <f>IFERROR(VLOOKUP(N21,Teilnehmer[],3,FALSE),"")</f>
        <v/>
      </c>
      <c r="Q21" s="96" t="str">
        <f>IFERROR(VLOOKUP(N21,Teilnehmer[],5,FALSE),"")</f>
        <v/>
      </c>
    </row>
    <row r="22" spans="1:17" ht="16.2" customHeight="1" x14ac:dyDescent="0.35">
      <c r="A22" s="172">
        <f t="shared" si="0"/>
        <v>16</v>
      </c>
      <c r="B22" s="286" t="str">
        <f>IFERROR(INDEX(Teilnehmer[LfNr],_xlfn.AGGREGATE(15,6,ROW(Teilnehmer[LfNr])/((Teilnehmer[Großgruppe]=$E$4)),ROW()-6)-1,1),"")</f>
        <v/>
      </c>
      <c r="C22" s="107" t="str">
        <f>IFERROR(VLOOKUP(B22,Teilnehmer[],2,FALSE),"")</f>
        <v/>
      </c>
      <c r="D22" s="107" t="str">
        <f>IFERROR(VLOOKUP(B22,Teilnehmer[],3,FALSE),"")</f>
        <v/>
      </c>
      <c r="E22" s="175" t="str">
        <f>IFERROR(VLOOKUP(B22,Teilnehmer[],5,FALSE),"")</f>
        <v/>
      </c>
      <c r="F22" s="91"/>
      <c r="G22" s="172">
        <f t="shared" si="1"/>
        <v>16</v>
      </c>
      <c r="H22" s="288" t="str">
        <f>IFERROR(INDEX(Teilnehmer[LfNr],_xlfn.AGGREGATE(15,6,ROW(Teilnehmer[LfNr])/((Teilnehmer[Großgruppe]=$K$4)),ROW()-6)-1,1),"")</f>
        <v/>
      </c>
      <c r="I22" s="107" t="str">
        <f>IFERROR(VLOOKUP(H22,Teilnehmer[],2,FALSE),"")</f>
        <v/>
      </c>
      <c r="J22" s="107" t="str">
        <f>IFERROR(VLOOKUP(H22,Teilnehmer[],3,FALSE),"")</f>
        <v/>
      </c>
      <c r="K22" s="175" t="str">
        <f>IFERROR(VLOOKUP(H22,Teilnehmer[],5,FALSE),"")</f>
        <v/>
      </c>
      <c r="M22" s="173">
        <f t="shared" si="2"/>
        <v>16</v>
      </c>
      <c r="N22" s="174" t="str">
        <f>IFERROR(INDEX(Teilnehmer[LfNr],_xlfn.AGGREGATE(15,6,ROW(Teilnehmer[LfNr])/((Teilnehmer[Großgruppe]=$Q$4)),ROW()-6)-1,1),"")</f>
        <v/>
      </c>
      <c r="O22" s="95" t="str">
        <f>IFERROR(VLOOKUP(N22,Teilnehmer[],2,FALSE),"")</f>
        <v/>
      </c>
      <c r="P22" s="95" t="str">
        <f>IFERROR(VLOOKUP(N22,Teilnehmer[],3,FALSE),"")</f>
        <v/>
      </c>
      <c r="Q22" s="96" t="str">
        <f>IFERROR(VLOOKUP(N22,Teilnehmer[],5,FALSE),"")</f>
        <v/>
      </c>
    </row>
    <row r="23" spans="1:17" ht="16.2" customHeight="1" x14ac:dyDescent="0.35">
      <c r="A23" s="172">
        <f t="shared" si="0"/>
        <v>17</v>
      </c>
      <c r="B23" s="286" t="str">
        <f>IFERROR(INDEX(Teilnehmer[LfNr],_xlfn.AGGREGATE(15,6,ROW(Teilnehmer[LfNr])/((Teilnehmer[Großgruppe]=$E$4)),ROW()-6)-1,1),"")</f>
        <v/>
      </c>
      <c r="C23" s="107" t="str">
        <f>IFERROR(VLOOKUP(B23,Teilnehmer[],2,FALSE),"")</f>
        <v/>
      </c>
      <c r="D23" s="107" t="str">
        <f>IFERROR(VLOOKUP(B23,Teilnehmer[],3,FALSE),"")</f>
        <v/>
      </c>
      <c r="E23" s="175" t="str">
        <f>IFERROR(VLOOKUP(B23,Teilnehmer[],5,FALSE),"")</f>
        <v/>
      </c>
      <c r="F23" s="91"/>
      <c r="G23" s="172">
        <f t="shared" si="1"/>
        <v>17</v>
      </c>
      <c r="H23" s="288" t="str">
        <f>IFERROR(INDEX(Teilnehmer[LfNr],_xlfn.AGGREGATE(15,6,ROW(Teilnehmer[LfNr])/((Teilnehmer[Großgruppe]=$K$4)),ROW()-6)-1,1),"")</f>
        <v/>
      </c>
      <c r="I23" s="107" t="str">
        <f>IFERROR(VLOOKUP(H23,Teilnehmer[],2,FALSE),"")</f>
        <v/>
      </c>
      <c r="J23" s="107" t="str">
        <f>IFERROR(VLOOKUP(H23,Teilnehmer[],3,FALSE),"")</f>
        <v/>
      </c>
      <c r="K23" s="175" t="str">
        <f>IFERROR(VLOOKUP(H23,Teilnehmer[],5,FALSE),"")</f>
        <v/>
      </c>
      <c r="M23" s="173">
        <f t="shared" si="2"/>
        <v>17</v>
      </c>
      <c r="N23" s="174" t="str">
        <f>IFERROR(INDEX(Teilnehmer[LfNr],_xlfn.AGGREGATE(15,6,ROW(Teilnehmer[LfNr])/((Teilnehmer[Großgruppe]=$Q$4)),ROW()-6)-1,1),"")</f>
        <v/>
      </c>
      <c r="O23" s="95" t="str">
        <f>IFERROR(VLOOKUP(N23,Teilnehmer[],2,FALSE),"")</f>
        <v/>
      </c>
      <c r="P23" s="95" t="str">
        <f>IFERROR(VLOOKUP(N23,Teilnehmer[],3,FALSE),"")</f>
        <v/>
      </c>
      <c r="Q23" s="96" t="str">
        <f>IFERROR(VLOOKUP(N23,Teilnehmer[],5,FALSE),"")</f>
        <v/>
      </c>
    </row>
    <row r="24" spans="1:17" ht="16.2" customHeight="1" x14ac:dyDescent="0.35">
      <c r="A24" s="172">
        <f t="shared" si="0"/>
        <v>18</v>
      </c>
      <c r="B24" s="286" t="str">
        <f>IFERROR(INDEX(Teilnehmer[LfNr],_xlfn.AGGREGATE(15,6,ROW(Teilnehmer[LfNr])/((Teilnehmer[Großgruppe]=$E$4)),ROW()-6)-1,1),"")</f>
        <v/>
      </c>
      <c r="C24" s="107" t="str">
        <f>IFERROR(VLOOKUP(B24,Teilnehmer[],2,FALSE),"")</f>
        <v/>
      </c>
      <c r="D24" s="107" t="str">
        <f>IFERROR(VLOOKUP(B24,Teilnehmer[],3,FALSE),"")</f>
        <v/>
      </c>
      <c r="E24" s="175" t="str">
        <f>IFERROR(VLOOKUP(B24,Teilnehmer[],5,FALSE),"")</f>
        <v/>
      </c>
      <c r="F24" s="91"/>
      <c r="G24" s="172">
        <f t="shared" si="1"/>
        <v>18</v>
      </c>
      <c r="H24" s="288" t="str">
        <f>IFERROR(INDEX(Teilnehmer[LfNr],_xlfn.AGGREGATE(15,6,ROW(Teilnehmer[LfNr])/((Teilnehmer[Großgruppe]=$K$4)),ROW()-6)-1,1),"")</f>
        <v/>
      </c>
      <c r="I24" s="107" t="str">
        <f>IFERROR(VLOOKUP(H24,Teilnehmer[],2,FALSE),"")</f>
        <v/>
      </c>
      <c r="J24" s="107" t="str">
        <f>IFERROR(VLOOKUP(H24,Teilnehmer[],3,FALSE),"")</f>
        <v/>
      </c>
      <c r="K24" s="175" t="str">
        <f>IFERROR(VLOOKUP(H24,Teilnehmer[],5,FALSE),"")</f>
        <v/>
      </c>
      <c r="M24" s="173">
        <f t="shared" si="2"/>
        <v>18</v>
      </c>
      <c r="N24" s="174" t="str">
        <f>IFERROR(INDEX(Teilnehmer[LfNr],_xlfn.AGGREGATE(15,6,ROW(Teilnehmer[LfNr])/((Teilnehmer[Großgruppe]=$Q$4)),ROW()-6)-1,1),"")</f>
        <v/>
      </c>
      <c r="O24" s="95" t="str">
        <f>IFERROR(VLOOKUP(N24,Teilnehmer[],2,FALSE),"")</f>
        <v/>
      </c>
      <c r="P24" s="95" t="str">
        <f>IFERROR(VLOOKUP(N24,Teilnehmer[],3,FALSE),"")</f>
        <v/>
      </c>
      <c r="Q24" s="96" t="str">
        <f>IFERROR(VLOOKUP(N24,Teilnehmer[],5,FALSE),"")</f>
        <v/>
      </c>
    </row>
    <row r="25" spans="1:17" ht="16.2" customHeight="1" x14ac:dyDescent="0.35">
      <c r="A25" s="172">
        <f t="shared" si="0"/>
        <v>19</v>
      </c>
      <c r="B25" s="286" t="str">
        <f>IFERROR(INDEX(Teilnehmer[LfNr],_xlfn.AGGREGATE(15,6,ROW(Teilnehmer[LfNr])/((Teilnehmer[Großgruppe]=$E$4)),ROW()-6)-1,1),"")</f>
        <v/>
      </c>
      <c r="C25" s="107" t="str">
        <f>IFERROR(VLOOKUP(B25,Teilnehmer[],2,FALSE),"")</f>
        <v/>
      </c>
      <c r="D25" s="107" t="str">
        <f>IFERROR(VLOOKUP(B25,Teilnehmer[],3,FALSE),"")</f>
        <v/>
      </c>
      <c r="E25" s="175" t="str">
        <f>IFERROR(VLOOKUP(B25,Teilnehmer[],5,FALSE),"")</f>
        <v/>
      </c>
      <c r="F25" s="91"/>
      <c r="G25" s="172">
        <f t="shared" si="1"/>
        <v>19</v>
      </c>
      <c r="H25" s="288" t="str">
        <f>IFERROR(INDEX(Teilnehmer[LfNr],_xlfn.AGGREGATE(15,6,ROW(Teilnehmer[LfNr])/((Teilnehmer[Großgruppe]=$K$4)),ROW()-6)-1,1),"")</f>
        <v/>
      </c>
      <c r="I25" s="107" t="str">
        <f>IFERROR(VLOOKUP(H25,Teilnehmer[],2,FALSE),"")</f>
        <v/>
      </c>
      <c r="J25" s="107" t="str">
        <f>IFERROR(VLOOKUP(H25,Teilnehmer[],3,FALSE),"")</f>
        <v/>
      </c>
      <c r="K25" s="175" t="str">
        <f>IFERROR(VLOOKUP(H25,Teilnehmer[],5,FALSE),"")</f>
        <v/>
      </c>
      <c r="M25" s="173">
        <f t="shared" si="2"/>
        <v>19</v>
      </c>
      <c r="N25" s="174" t="str">
        <f>IFERROR(INDEX(Teilnehmer[LfNr],_xlfn.AGGREGATE(15,6,ROW(Teilnehmer[LfNr])/((Teilnehmer[Großgruppe]=$Q$4)),ROW()-6)-1,1),"")</f>
        <v/>
      </c>
      <c r="O25" s="95" t="str">
        <f>IFERROR(VLOOKUP(N25,Teilnehmer[],2,FALSE),"")</f>
        <v/>
      </c>
      <c r="P25" s="95" t="str">
        <f>IFERROR(VLOOKUP(N25,Teilnehmer[],3,FALSE),"")</f>
        <v/>
      </c>
      <c r="Q25" s="96" t="str">
        <f>IFERROR(VLOOKUP(N25,Teilnehmer[],5,FALSE),"")</f>
        <v/>
      </c>
    </row>
    <row r="26" spans="1:17" ht="16.2" x14ac:dyDescent="0.35">
      <c r="A26" s="172">
        <f t="shared" si="0"/>
        <v>20</v>
      </c>
      <c r="B26" s="286" t="str">
        <f>IFERROR(INDEX(Teilnehmer[LfNr],_xlfn.AGGREGATE(15,6,ROW(Teilnehmer[LfNr])/((Teilnehmer[Großgruppe]=$E$4)),ROW()-6)-1,1),"")</f>
        <v/>
      </c>
      <c r="C26" s="107" t="str">
        <f>IFERROR(VLOOKUP(B26,Teilnehmer[],2,FALSE),"")</f>
        <v/>
      </c>
      <c r="D26" s="107" t="str">
        <f>IFERROR(VLOOKUP(B26,Teilnehmer[],3,FALSE),"")</f>
        <v/>
      </c>
      <c r="E26" s="175" t="str">
        <f>IFERROR(VLOOKUP(B26,Teilnehmer[],5,FALSE),"")</f>
        <v/>
      </c>
      <c r="F26" s="105"/>
      <c r="G26" s="172">
        <f t="shared" si="1"/>
        <v>20</v>
      </c>
      <c r="H26" s="288" t="str">
        <f>IFERROR(INDEX(Teilnehmer[LfNr],_xlfn.AGGREGATE(15,6,ROW(Teilnehmer[LfNr])/((Teilnehmer[Großgruppe]=$K$4)),ROW()-6)-1,1),"")</f>
        <v/>
      </c>
      <c r="I26" s="107" t="str">
        <f>IFERROR(VLOOKUP(H26,Teilnehmer[],2,FALSE),"")</f>
        <v/>
      </c>
      <c r="J26" s="107" t="str">
        <f>IFERROR(VLOOKUP(H26,Teilnehmer[],3,FALSE),"")</f>
        <v/>
      </c>
      <c r="K26" s="175" t="str">
        <f>IFERROR(VLOOKUP(H26,Teilnehmer[],5,FALSE),"")</f>
        <v/>
      </c>
      <c r="L26" s="176"/>
      <c r="M26" s="173">
        <f t="shared" si="2"/>
        <v>20</v>
      </c>
      <c r="N26" s="174" t="str">
        <f>IFERROR(INDEX(Teilnehmer[LfNr],_xlfn.AGGREGATE(15,6,ROW(Teilnehmer[LfNr])/((Teilnehmer[Großgruppe]=$Q$4)),ROW()-6)-1,1),"")</f>
        <v/>
      </c>
      <c r="O26" s="95" t="str">
        <f>IFERROR(VLOOKUP(N26,Teilnehmer[],2,FALSE),"")</f>
        <v/>
      </c>
      <c r="P26" s="95" t="str">
        <f>IFERROR(VLOOKUP(N26,Teilnehmer[],3,FALSE),"")</f>
        <v/>
      </c>
      <c r="Q26" s="96" t="str">
        <f>IFERROR(VLOOKUP(N26,Teilnehmer[],5,FALSE),"")</f>
        <v/>
      </c>
    </row>
    <row r="27" spans="1:17" ht="16.2" x14ac:dyDescent="0.35">
      <c r="A27" s="172">
        <f t="shared" si="0"/>
        <v>21</v>
      </c>
      <c r="B27" s="286" t="str">
        <f>IFERROR(INDEX(Teilnehmer[LfNr],_xlfn.AGGREGATE(15,6,ROW(Teilnehmer[LfNr])/((Teilnehmer[Großgruppe]=$E$4)),ROW()-6)-1,1),"")</f>
        <v/>
      </c>
      <c r="C27" s="107" t="str">
        <f>IFERROR(VLOOKUP(B27,Teilnehmer[],2,FALSE),"")</f>
        <v/>
      </c>
      <c r="D27" s="107" t="str">
        <f>IFERROR(VLOOKUP(B27,Teilnehmer[],3,FALSE),"")</f>
        <v/>
      </c>
      <c r="E27" s="175" t="str">
        <f>IFERROR(VLOOKUP(B27,Teilnehmer[],5,FALSE),"")</f>
        <v/>
      </c>
      <c r="F27" s="105"/>
      <c r="G27" s="172">
        <f t="shared" si="1"/>
        <v>21</v>
      </c>
      <c r="H27" s="288" t="str">
        <f>IFERROR(INDEX(Teilnehmer[LfNr],_xlfn.AGGREGATE(15,6,ROW(Teilnehmer[LfNr])/((Teilnehmer[Großgruppe]=$K$4)),ROW()-6)-1,1),"")</f>
        <v/>
      </c>
      <c r="I27" s="107" t="str">
        <f>IFERROR(VLOOKUP(H27,Teilnehmer[],2,FALSE),"")</f>
        <v/>
      </c>
      <c r="J27" s="107" t="str">
        <f>IFERROR(VLOOKUP(H27,Teilnehmer[],3,FALSE),"")</f>
        <v/>
      </c>
      <c r="K27" s="175" t="str">
        <f>IFERROR(VLOOKUP(H27,Teilnehmer[],5,FALSE),"")</f>
        <v/>
      </c>
      <c r="L27" s="176"/>
      <c r="M27" s="173">
        <f t="shared" si="2"/>
        <v>21</v>
      </c>
      <c r="N27" s="174" t="str">
        <f>IFERROR(INDEX(Teilnehmer[LfNr],_xlfn.AGGREGATE(15,6,ROW(Teilnehmer[LfNr])/((Teilnehmer[Großgruppe]=$Q$4)),ROW()-6)-1,1),"")</f>
        <v/>
      </c>
      <c r="O27" s="95" t="str">
        <f>IFERROR(VLOOKUP(N27,Teilnehmer[],2,FALSE),"")</f>
        <v/>
      </c>
      <c r="P27" s="95" t="str">
        <f>IFERROR(VLOOKUP(N27,Teilnehmer[],3,FALSE),"")</f>
        <v/>
      </c>
      <c r="Q27" s="96" t="str">
        <f>IFERROR(VLOOKUP(N27,Teilnehmer[],5,FALSE),"")</f>
        <v/>
      </c>
    </row>
    <row r="28" spans="1:17" ht="16.2" x14ac:dyDescent="0.35">
      <c r="A28" s="172">
        <f t="shared" si="0"/>
        <v>22</v>
      </c>
      <c r="B28" s="286" t="str">
        <f>IFERROR(INDEX(Teilnehmer[LfNr],_xlfn.AGGREGATE(15,6,ROW(Teilnehmer[LfNr])/((Teilnehmer[Großgruppe]=$E$4)),ROW()-6)-1,1),"")</f>
        <v/>
      </c>
      <c r="C28" s="107" t="str">
        <f>IFERROR(VLOOKUP(B28,Teilnehmer[],2,FALSE),"")</f>
        <v/>
      </c>
      <c r="D28" s="107" t="str">
        <f>IFERROR(VLOOKUP(B28,Teilnehmer[],3,FALSE),"")</f>
        <v/>
      </c>
      <c r="E28" s="175" t="str">
        <f>IFERROR(VLOOKUP(B28,Teilnehmer[],5,FALSE),"")</f>
        <v/>
      </c>
      <c r="F28" s="105"/>
      <c r="G28" s="172">
        <f t="shared" si="1"/>
        <v>22</v>
      </c>
      <c r="H28" s="288" t="str">
        <f>IFERROR(INDEX(Teilnehmer[LfNr],_xlfn.AGGREGATE(15,6,ROW(Teilnehmer[LfNr])/((Teilnehmer[Großgruppe]=$K$4)),ROW()-6)-1,1),"")</f>
        <v/>
      </c>
      <c r="I28" s="107" t="str">
        <f>IFERROR(VLOOKUP(H28,Teilnehmer[],2,FALSE),"")</f>
        <v/>
      </c>
      <c r="J28" s="107" t="str">
        <f>IFERROR(VLOOKUP(H28,Teilnehmer[],3,FALSE),"")</f>
        <v/>
      </c>
      <c r="K28" s="175" t="str">
        <f>IFERROR(VLOOKUP(H28,Teilnehmer[],5,FALSE),"")</f>
        <v/>
      </c>
      <c r="L28" s="176"/>
      <c r="M28" s="173">
        <f t="shared" si="2"/>
        <v>22</v>
      </c>
      <c r="N28" s="174" t="str">
        <f>IFERROR(INDEX(Teilnehmer[LfNr],_xlfn.AGGREGATE(15,6,ROW(Teilnehmer[LfNr])/((Teilnehmer[Großgruppe]=$Q$4)),ROW()-6)-1,1),"")</f>
        <v/>
      </c>
      <c r="O28" s="95" t="str">
        <f>IFERROR(VLOOKUP(N28,Teilnehmer[],2,FALSE),"")</f>
        <v/>
      </c>
      <c r="P28" s="95" t="str">
        <f>IFERROR(VLOOKUP(N28,Teilnehmer[],3,FALSE),"")</f>
        <v/>
      </c>
      <c r="Q28" s="96" t="str">
        <f>IFERROR(VLOOKUP(N28,Teilnehmer[],5,FALSE),"")</f>
        <v/>
      </c>
    </row>
    <row r="29" spans="1:17" ht="16.2" x14ac:dyDescent="0.35">
      <c r="A29" s="172">
        <f t="shared" si="0"/>
        <v>23</v>
      </c>
      <c r="B29" s="286" t="str">
        <f>IFERROR(INDEX(Teilnehmer[LfNr],_xlfn.AGGREGATE(15,6,ROW(Teilnehmer[LfNr])/((Teilnehmer[Großgruppe]=$E$4)),ROW()-6)-1,1),"")</f>
        <v/>
      </c>
      <c r="C29" s="107" t="str">
        <f>IFERROR(VLOOKUP(B29,Teilnehmer[],2,FALSE),"")</f>
        <v/>
      </c>
      <c r="D29" s="107" t="str">
        <f>IFERROR(VLOOKUP(B29,Teilnehmer[],3,FALSE),"")</f>
        <v/>
      </c>
      <c r="E29" s="175" t="str">
        <f>IFERROR(VLOOKUP(B29,Teilnehmer[],5,FALSE),"")</f>
        <v/>
      </c>
      <c r="F29" s="105"/>
      <c r="G29" s="172">
        <f t="shared" si="1"/>
        <v>23</v>
      </c>
      <c r="H29" s="309" t="str">
        <f>IFERROR(INDEX(Teilnehmer[LfNr],_xlfn.AGGREGATE(15,6,ROW(Teilnehmer[LfNr])/((Teilnehmer[Kleingruppe]=$K$4)),ROW()-6)-1,1),"")</f>
        <v/>
      </c>
      <c r="I29" s="107" t="str">
        <f>IFERROR(VLOOKUP(H29,Teilnehmer[],2,FALSE),"")</f>
        <v/>
      </c>
      <c r="J29" s="107" t="str">
        <f>IFERROR(VLOOKUP(H29,Teilnehmer[],3,FALSE),"")</f>
        <v/>
      </c>
      <c r="K29" s="175" t="str">
        <f>IFERROR(VLOOKUP(H29,Teilnehmer[],5,FALSE),"")</f>
        <v/>
      </c>
      <c r="L29" s="176"/>
      <c r="M29" s="173">
        <f t="shared" si="2"/>
        <v>23</v>
      </c>
      <c r="N29" s="174" t="str">
        <f>IFERROR(INDEX(Teilnehmer[LfNr],_xlfn.AGGREGATE(15,6,ROW(Teilnehmer[LfNr])/((Teilnehmer[Großgruppe]=$Q$4)),ROW()-6)-1,1),"")</f>
        <v/>
      </c>
      <c r="O29" s="95" t="str">
        <f>IFERROR(VLOOKUP(N29,Teilnehmer[],2,FALSE),"")</f>
        <v/>
      </c>
      <c r="P29" s="95" t="str">
        <f>IFERROR(VLOOKUP(N29,Teilnehmer[],3,FALSE),"")</f>
        <v/>
      </c>
      <c r="Q29" s="96" t="str">
        <f>IFERROR(VLOOKUP(N29,Teilnehmer[],5,FALSE),"")</f>
        <v/>
      </c>
    </row>
    <row r="30" spans="1:17" ht="15" x14ac:dyDescent="0.35">
      <c r="A30" s="172">
        <f t="shared" si="0"/>
        <v>24</v>
      </c>
      <c r="B30" s="286" t="str">
        <f>IFERROR(INDEX(Teilnehmer[LfNr],_xlfn.AGGREGATE(15,6,ROW(Teilnehmer[LfNr])/((Teilnehmer[Großgruppe]=$E$4)),ROW()-6)-1,1),"")</f>
        <v/>
      </c>
      <c r="C30" s="107" t="str">
        <f>IFERROR(VLOOKUP(B30,Teilnehmer[],2,FALSE),"")</f>
        <v/>
      </c>
      <c r="D30" s="107" t="str">
        <f>IFERROR(VLOOKUP(B30,Teilnehmer[],3,FALSE),"")</f>
        <v/>
      </c>
      <c r="E30" s="175" t="str">
        <f>IFERROR(VLOOKUP(B30,Teilnehmer[],5,FALSE),"")</f>
        <v/>
      </c>
      <c r="F30" s="101"/>
      <c r="G30" s="172">
        <f t="shared" si="1"/>
        <v>24</v>
      </c>
      <c r="H30" s="309" t="str">
        <f>IFERROR(INDEX(Teilnehmer[LfNr],_xlfn.AGGREGATE(15,6,ROW(Teilnehmer[LfNr])/((Teilnehmer[Kleingruppe]=$K$4)),ROW()-6)-1,1),"")</f>
        <v/>
      </c>
      <c r="I30" s="107" t="str">
        <f>IFERROR(VLOOKUP(H30,Teilnehmer[],2,FALSE),"")</f>
        <v/>
      </c>
      <c r="J30" s="107" t="str">
        <f>IFERROR(VLOOKUP(H30,Teilnehmer[],3,FALSE),"")</f>
        <v/>
      </c>
      <c r="K30" s="175" t="str">
        <f>IFERROR(VLOOKUP(H30,Teilnehmer[],5,FALSE),"")</f>
        <v/>
      </c>
      <c r="L30" s="101"/>
      <c r="M30" s="173">
        <f t="shared" si="2"/>
        <v>24</v>
      </c>
      <c r="N30" s="174" t="str">
        <f>IFERROR(INDEX(Teilnehmer[LfNr],_xlfn.AGGREGATE(15,6,ROW(Teilnehmer[LfNr])/((Teilnehmer[Großgruppe]=$Q$4)),ROW()-6)-1,1),"")</f>
        <v/>
      </c>
      <c r="O30" s="95" t="str">
        <f>IFERROR(VLOOKUP(N30,Teilnehmer[],2,FALSE),"")</f>
        <v/>
      </c>
      <c r="P30" s="95" t="str">
        <f>IFERROR(VLOOKUP(N30,Teilnehmer[],3,FALSE),"")</f>
        <v/>
      </c>
      <c r="Q30" s="96" t="str">
        <f>IFERROR(VLOOKUP(N30,Teilnehmer[],5,FALSE),"")</f>
        <v/>
      </c>
    </row>
    <row r="31" spans="1:17" ht="15" x14ac:dyDescent="0.35">
      <c r="A31" s="172">
        <f t="shared" si="0"/>
        <v>25</v>
      </c>
      <c r="B31" s="286" t="str">
        <f>IFERROR(INDEX(Teilnehmer[LfNr],_xlfn.AGGREGATE(15,6,ROW(Teilnehmer[LfNr])/((Teilnehmer[Großgruppe]=$E$4)),ROW()-6)-1,1),"")</f>
        <v/>
      </c>
      <c r="C31" s="107" t="str">
        <f>IFERROR(VLOOKUP(B31,Teilnehmer[],2,FALSE),"")</f>
        <v/>
      </c>
      <c r="D31" s="107" t="str">
        <f>IFERROR(VLOOKUP(B31,Teilnehmer[],3,FALSE),"")</f>
        <v/>
      </c>
      <c r="E31" s="175" t="str">
        <f>IFERROR(VLOOKUP(B31,Teilnehmer[],5,FALSE),"")</f>
        <v/>
      </c>
      <c r="F31" s="101"/>
      <c r="G31" s="172">
        <f t="shared" si="1"/>
        <v>25</v>
      </c>
      <c r="H31" s="309" t="str">
        <f>IFERROR(INDEX(Teilnehmer[LfNr],_xlfn.AGGREGATE(15,6,ROW(Teilnehmer[LfNr])/((Teilnehmer[Kleingruppe]=$K$4)),ROW()-6)-1,1),"")</f>
        <v/>
      </c>
      <c r="I31" s="107" t="str">
        <f>IFERROR(VLOOKUP(H31,Teilnehmer[],2,FALSE),"")</f>
        <v/>
      </c>
      <c r="J31" s="107" t="str">
        <f>IFERROR(VLOOKUP(H31,Teilnehmer[],3,FALSE),"")</f>
        <v/>
      </c>
      <c r="K31" s="175" t="str">
        <f>IFERROR(VLOOKUP(H31,Teilnehmer[],5,FALSE),"")</f>
        <v/>
      </c>
      <c r="L31" s="101"/>
      <c r="M31" s="173">
        <f t="shared" si="2"/>
        <v>25</v>
      </c>
      <c r="N31" s="174" t="str">
        <f>IFERROR(INDEX(Teilnehmer[LfNr],_xlfn.AGGREGATE(15,6,ROW(Teilnehmer[LfNr])/((Teilnehmer[Großgruppe]=$Q$4)),ROW()-6)-1,1),"")</f>
        <v/>
      </c>
      <c r="O31" s="95" t="str">
        <f>IFERROR(VLOOKUP(N31,Teilnehmer[],2,FALSE),"")</f>
        <v/>
      </c>
      <c r="P31" s="95" t="str">
        <f>IFERROR(VLOOKUP(N31,Teilnehmer[],3,FALSE),"")</f>
        <v/>
      </c>
      <c r="Q31" s="96" t="str">
        <f>IFERROR(VLOOKUP(N31,Teilnehmer[],5,FALSE),"")</f>
        <v/>
      </c>
    </row>
    <row r="32" spans="1:17" ht="15" x14ac:dyDescent="0.35">
      <c r="A32" s="172">
        <f t="shared" si="0"/>
        <v>26</v>
      </c>
      <c r="B32" s="286" t="str">
        <f>IFERROR(INDEX(Teilnehmer[LfNr],_xlfn.AGGREGATE(15,6,ROW(Teilnehmer[LfNr])/((Teilnehmer[Großgruppe]=$E$4)),ROW()-6)-1,1),"")</f>
        <v/>
      </c>
      <c r="C32" s="107" t="str">
        <f>IFERROR(VLOOKUP(B32,Teilnehmer[],2,FALSE),"")</f>
        <v/>
      </c>
      <c r="D32" s="107" t="str">
        <f>IFERROR(VLOOKUP(B32,Teilnehmer[],3,FALSE),"")</f>
        <v/>
      </c>
      <c r="E32" s="175" t="str">
        <f>IFERROR(VLOOKUP(B32,Teilnehmer[],5,FALSE),"")</f>
        <v/>
      </c>
      <c r="F32" s="101"/>
      <c r="G32" s="172">
        <f t="shared" si="1"/>
        <v>26</v>
      </c>
      <c r="H32" s="309" t="str">
        <f>IFERROR(INDEX(Teilnehmer[LfNr],_xlfn.AGGREGATE(15,6,ROW(Teilnehmer[LfNr])/((Teilnehmer[Kleingruppe]=$K$4)),ROW()-6)-1,1),"")</f>
        <v/>
      </c>
      <c r="I32" s="107" t="str">
        <f>IFERROR(VLOOKUP(H32,Teilnehmer[],2,FALSE),"")</f>
        <v/>
      </c>
      <c r="J32" s="107" t="str">
        <f>IFERROR(VLOOKUP(H32,Teilnehmer[],3,FALSE),"")</f>
        <v/>
      </c>
      <c r="K32" s="175" t="str">
        <f>IFERROR(VLOOKUP(H32,Teilnehmer[],5,FALSE),"")</f>
        <v/>
      </c>
      <c r="L32" s="101"/>
      <c r="M32" s="173">
        <f t="shared" si="2"/>
        <v>26</v>
      </c>
      <c r="N32" s="174" t="str">
        <f>IFERROR(INDEX(Teilnehmer[LfNr],_xlfn.AGGREGATE(15,6,ROW(Teilnehmer[LfNr])/((Teilnehmer[Großgruppe]=$Q$4)),ROW()-6)-1,1),"")</f>
        <v/>
      </c>
      <c r="O32" s="95" t="str">
        <f>IFERROR(VLOOKUP(N32,Teilnehmer[],2,FALSE),"")</f>
        <v/>
      </c>
      <c r="P32" s="95" t="str">
        <f>IFERROR(VLOOKUP(N32,Teilnehmer[],3,FALSE),"")</f>
        <v/>
      </c>
      <c r="Q32" s="96" t="str">
        <f>IFERROR(VLOOKUP(N32,Teilnehmer[],5,FALSE),"")</f>
        <v/>
      </c>
    </row>
    <row r="33" spans="1:17" ht="15.6" thickBot="1" x14ac:dyDescent="0.4">
      <c r="A33" s="177">
        <f t="shared" si="0"/>
        <v>27</v>
      </c>
      <c r="B33" s="287" t="str">
        <f>IFERROR(INDEX(Teilnehmer[LfNr],_xlfn.AGGREGATE(15,6,ROW(Teilnehmer[LfNr])/((Teilnehmer[Großgruppe]=$E$4)),ROW()-6)-1,1),"")</f>
        <v/>
      </c>
      <c r="C33" s="178" t="str">
        <f>IFERROR(VLOOKUP(B33,Teilnehmer[],2,FALSE),"")</f>
        <v/>
      </c>
      <c r="D33" s="178" t="str">
        <f>IFERROR(VLOOKUP(B33,Teilnehmer[],3,FALSE),"")</f>
        <v/>
      </c>
      <c r="E33" s="179" t="str">
        <f>IFERROR(VLOOKUP(B33,Teilnehmer[],5,FALSE),"")</f>
        <v/>
      </c>
      <c r="F33" s="101"/>
      <c r="G33" s="177">
        <f t="shared" si="1"/>
        <v>27</v>
      </c>
      <c r="H33" s="310" t="str">
        <f>IFERROR(INDEX(Teilnehmer[LfNr],_xlfn.AGGREGATE(15,6,ROW(Teilnehmer[LfNr])/((Teilnehmer[Kleingruppe]=$K$4)),ROW()-6)-1,1),"")</f>
        <v/>
      </c>
      <c r="I33" s="178" t="str">
        <f>IFERROR(VLOOKUP(H33,Teilnehmer[],2,FALSE),"")</f>
        <v/>
      </c>
      <c r="J33" s="178" t="str">
        <f>IFERROR(VLOOKUP(H33,Teilnehmer[],3,FALSE),"")</f>
        <v/>
      </c>
      <c r="K33" s="179" t="str">
        <f>IFERROR(VLOOKUP(H33,Teilnehmer[],5,FALSE),"")</f>
        <v/>
      </c>
      <c r="L33" s="101"/>
      <c r="M33" s="180">
        <f t="shared" si="2"/>
        <v>27</v>
      </c>
      <c r="N33" s="181" t="str">
        <f>IFERROR(INDEX(Teilnehmer[LfNr],_xlfn.AGGREGATE(15,6,ROW(Teilnehmer[LfNr])/((Teilnehmer[Großgruppe]=$Q$4)),ROW()-6)-1,1),"")</f>
        <v/>
      </c>
      <c r="O33" s="99" t="str">
        <f>IFERROR(VLOOKUP(N33,Teilnehmer[],2,FALSE),"")</f>
        <v/>
      </c>
      <c r="P33" s="99" t="str">
        <f>IFERROR(VLOOKUP(N33,Teilnehmer[],3,FALSE),"")</f>
        <v/>
      </c>
      <c r="Q33" s="100" t="str">
        <f>IFERROR(VLOOKUP(N33,Teilnehmer[],5,FALSE),"")</f>
        <v/>
      </c>
    </row>
    <row r="34" spans="1:17" ht="15" thickTop="1" x14ac:dyDescent="0.3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</row>
    <row r="35" spans="1:17" x14ac:dyDescent="0.3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</row>
    <row r="36" spans="1:17" x14ac:dyDescent="0.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</row>
    <row r="37" spans="1:17" x14ac:dyDescent="0.3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</row>
    <row r="38" spans="1:17" x14ac:dyDescent="0.3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</row>
    <row r="39" spans="1:17" x14ac:dyDescent="0.3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</row>
    <row r="40" spans="1:17" x14ac:dyDescent="0.3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</row>
    <row r="41" spans="1:17" x14ac:dyDescent="0.3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</row>
    <row r="42" spans="1:17" x14ac:dyDescent="0.3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</row>
    <row r="43" spans="1:17" x14ac:dyDescent="0.3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</row>
    <row r="44" spans="1:17" x14ac:dyDescent="0.3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</row>
    <row r="45" spans="1:17" x14ac:dyDescent="0.3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</row>
    <row r="46" spans="1:17" x14ac:dyDescent="0.3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</row>
    <row r="47" spans="1:17" x14ac:dyDescent="0.3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</row>
    <row r="48" spans="1:17" x14ac:dyDescent="0.3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</row>
    <row r="49" spans="1:17" x14ac:dyDescent="0.3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</row>
    <row r="50" spans="1:17" x14ac:dyDescent="0.3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</row>
    <row r="51" spans="1:17" x14ac:dyDescent="0.3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</row>
    <row r="52" spans="1:17" x14ac:dyDescent="0.3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</row>
    <row r="53" spans="1:17" x14ac:dyDescent="0.3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</row>
    <row r="54" spans="1:17" x14ac:dyDescent="0.3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</row>
    <row r="55" spans="1:17" x14ac:dyDescent="0.3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</row>
    <row r="56" spans="1:17" x14ac:dyDescent="0.3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</row>
    <row r="57" spans="1:17" x14ac:dyDescent="0.3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</row>
    <row r="58" spans="1:17" x14ac:dyDescent="0.3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</row>
    <row r="59" spans="1:17" x14ac:dyDescent="0.3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</row>
    <row r="60" spans="1:17" x14ac:dyDescent="0.3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</row>
    <row r="61" spans="1:17" x14ac:dyDescent="0.3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</row>
    <row r="62" spans="1:17" x14ac:dyDescent="0.3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</row>
    <row r="63" spans="1:17" x14ac:dyDescent="0.3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</row>
    <row r="64" spans="1:17" x14ac:dyDescent="0.3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</row>
    <row r="65" spans="1:17" x14ac:dyDescent="0.3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</row>
    <row r="66" spans="1:17" x14ac:dyDescent="0.3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</row>
    <row r="67" spans="1:17" x14ac:dyDescent="0.3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</row>
    <row r="68" spans="1:17" x14ac:dyDescent="0.3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</row>
    <row r="69" spans="1:17" x14ac:dyDescent="0.3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</row>
    <row r="70" spans="1:17" x14ac:dyDescent="0.3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</row>
    <row r="71" spans="1:17" x14ac:dyDescent="0.3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</row>
    <row r="72" spans="1:17" x14ac:dyDescent="0.3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</row>
    <row r="73" spans="1:17" x14ac:dyDescent="0.3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</row>
    <row r="74" spans="1:17" x14ac:dyDescent="0.3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</row>
    <row r="75" spans="1:17" x14ac:dyDescent="0.3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</row>
    <row r="76" spans="1:17" x14ac:dyDescent="0.3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</row>
    <row r="77" spans="1:17" x14ac:dyDescent="0.3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</row>
    <row r="78" spans="1:17" x14ac:dyDescent="0.3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</row>
    <row r="79" spans="1:17" x14ac:dyDescent="0.3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</row>
    <row r="80" spans="1:17" x14ac:dyDescent="0.3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</row>
    <row r="81" spans="1:17" x14ac:dyDescent="0.3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</row>
    <row r="82" spans="1:17" x14ac:dyDescent="0.3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</row>
    <row r="83" spans="1:17" x14ac:dyDescent="0.3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</row>
    <row r="84" spans="1:17" x14ac:dyDescent="0.3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</row>
    <row r="85" spans="1:17" x14ac:dyDescent="0.3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</row>
    <row r="86" spans="1:17" x14ac:dyDescent="0.3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</row>
    <row r="87" spans="1:17" x14ac:dyDescent="0.3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</row>
    <row r="88" spans="1:17" x14ac:dyDescent="0.3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</row>
    <row r="89" spans="1:17" x14ac:dyDescent="0.3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</row>
    <row r="90" spans="1:17" x14ac:dyDescent="0.3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</row>
    <row r="91" spans="1:17" x14ac:dyDescent="0.3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</row>
    <row r="92" spans="1:17" x14ac:dyDescent="0.3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</row>
    <row r="93" spans="1:17" x14ac:dyDescent="0.3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</row>
    <row r="94" spans="1:17" x14ac:dyDescent="0.3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</row>
    <row r="95" spans="1:17" x14ac:dyDescent="0.3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</row>
    <row r="96" spans="1:17" x14ac:dyDescent="0.3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</row>
    <row r="97" spans="1:17" x14ac:dyDescent="0.3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</row>
    <row r="98" spans="1:17" x14ac:dyDescent="0.3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</row>
    <row r="99" spans="1:17" x14ac:dyDescent="0.3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</row>
    <row r="100" spans="1:17" x14ac:dyDescent="0.3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</row>
    <row r="101" spans="1:17" x14ac:dyDescent="0.3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</row>
    <row r="102" spans="1:17" x14ac:dyDescent="0.3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</row>
    <row r="103" spans="1:17" x14ac:dyDescent="0.3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</row>
    <row r="104" spans="1:17" x14ac:dyDescent="0.3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</row>
    <row r="105" spans="1:17" x14ac:dyDescent="0.3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</row>
    <row r="106" spans="1:17" x14ac:dyDescent="0.3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</row>
    <row r="107" spans="1:17" x14ac:dyDescent="0.3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</row>
    <row r="108" spans="1:17" x14ac:dyDescent="0.3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</row>
    <row r="109" spans="1:17" x14ac:dyDescent="0.3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</row>
    <row r="110" spans="1:17" x14ac:dyDescent="0.3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</row>
    <row r="111" spans="1:17" x14ac:dyDescent="0.3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</row>
    <row r="112" spans="1:17" x14ac:dyDescent="0.3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</row>
    <row r="113" spans="1:17" x14ac:dyDescent="0.3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</row>
    <row r="114" spans="1:17" x14ac:dyDescent="0.3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</row>
    <row r="115" spans="1:17" x14ac:dyDescent="0.3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</row>
    <row r="116" spans="1:17" x14ac:dyDescent="0.3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</row>
    <row r="117" spans="1:17" x14ac:dyDescent="0.3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</row>
    <row r="118" spans="1:17" x14ac:dyDescent="0.3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</row>
    <row r="119" spans="1:17" x14ac:dyDescent="0.3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</row>
    <row r="120" spans="1:17" x14ac:dyDescent="0.3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</row>
    <row r="121" spans="1:17" x14ac:dyDescent="0.3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</row>
    <row r="122" spans="1:17" x14ac:dyDescent="0.3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</row>
    <row r="123" spans="1:17" x14ac:dyDescent="0.3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</row>
    <row r="124" spans="1:17" x14ac:dyDescent="0.3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</row>
    <row r="125" spans="1:17" x14ac:dyDescent="0.3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</row>
    <row r="126" spans="1:17" x14ac:dyDescent="0.3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</row>
    <row r="127" spans="1:17" x14ac:dyDescent="0.3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</row>
    <row r="128" spans="1:17" x14ac:dyDescent="0.3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</row>
    <row r="129" spans="1:17" x14ac:dyDescent="0.3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</row>
    <row r="130" spans="1:17" x14ac:dyDescent="0.3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</row>
    <row r="131" spans="1:17" x14ac:dyDescent="0.3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</row>
    <row r="132" spans="1:17" x14ac:dyDescent="0.3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</row>
    <row r="133" spans="1:17" x14ac:dyDescent="0.3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</row>
    <row r="134" spans="1:17" x14ac:dyDescent="0.3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</row>
    <row r="135" spans="1:17" x14ac:dyDescent="0.3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</row>
    <row r="136" spans="1:17" x14ac:dyDescent="0.3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</row>
    <row r="137" spans="1:17" x14ac:dyDescent="0.3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</row>
    <row r="138" spans="1:17" x14ac:dyDescent="0.3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</row>
    <row r="139" spans="1:17" x14ac:dyDescent="0.3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</row>
    <row r="140" spans="1:17" x14ac:dyDescent="0.3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</row>
    <row r="141" spans="1:17" x14ac:dyDescent="0.3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</row>
    <row r="142" spans="1:17" x14ac:dyDescent="0.3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</row>
    <row r="143" spans="1:17" x14ac:dyDescent="0.3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</row>
    <row r="144" spans="1:17" x14ac:dyDescent="0.3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</row>
    <row r="145" spans="1:17" x14ac:dyDescent="0.3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</row>
    <row r="146" spans="1:17" x14ac:dyDescent="0.3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</row>
    <row r="147" spans="1:17" x14ac:dyDescent="0.3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</row>
    <row r="148" spans="1:17" x14ac:dyDescent="0.3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</row>
    <row r="149" spans="1:17" x14ac:dyDescent="0.3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</row>
    <row r="150" spans="1:17" x14ac:dyDescent="0.3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</row>
    <row r="151" spans="1:17" x14ac:dyDescent="0.3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</row>
    <row r="152" spans="1:17" x14ac:dyDescent="0.3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</row>
    <row r="153" spans="1:17" x14ac:dyDescent="0.3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</row>
    <row r="154" spans="1:17" x14ac:dyDescent="0.3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</row>
    <row r="155" spans="1:17" x14ac:dyDescent="0.3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</row>
    <row r="156" spans="1:17" x14ac:dyDescent="0.3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</row>
    <row r="157" spans="1:17" x14ac:dyDescent="0.3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</row>
    <row r="158" spans="1:17" x14ac:dyDescent="0.3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</row>
    <row r="159" spans="1:17" x14ac:dyDescent="0.3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</row>
    <row r="160" spans="1:17" x14ac:dyDescent="0.3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</row>
    <row r="161" spans="1:17" x14ac:dyDescent="0.3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</row>
    <row r="162" spans="1:17" x14ac:dyDescent="0.3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</row>
    <row r="163" spans="1:17" x14ac:dyDescent="0.3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</row>
    <row r="164" spans="1:17" x14ac:dyDescent="0.3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</row>
    <row r="165" spans="1:17" x14ac:dyDescent="0.3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</row>
    <row r="166" spans="1:17" x14ac:dyDescent="0.3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</row>
    <row r="167" spans="1:17" x14ac:dyDescent="0.3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</row>
    <row r="168" spans="1:17" x14ac:dyDescent="0.3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</row>
    <row r="169" spans="1:17" x14ac:dyDescent="0.3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</row>
    <row r="170" spans="1:17" x14ac:dyDescent="0.3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</row>
    <row r="171" spans="1:17" x14ac:dyDescent="0.3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</row>
    <row r="172" spans="1:17" x14ac:dyDescent="0.3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</row>
    <row r="173" spans="1:17" x14ac:dyDescent="0.3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</row>
    <row r="174" spans="1:17" x14ac:dyDescent="0.3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</row>
    <row r="175" spans="1:17" x14ac:dyDescent="0.3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</row>
    <row r="176" spans="1:17" x14ac:dyDescent="0.3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</row>
    <row r="177" spans="1:17" x14ac:dyDescent="0.3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</row>
    <row r="178" spans="1:17" x14ac:dyDescent="0.3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</row>
    <row r="179" spans="1:17" x14ac:dyDescent="0.3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</row>
    <row r="180" spans="1:17" x14ac:dyDescent="0.3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</row>
    <row r="181" spans="1:17" x14ac:dyDescent="0.3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</row>
    <row r="182" spans="1:17" x14ac:dyDescent="0.3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</row>
    <row r="183" spans="1:17" x14ac:dyDescent="0.3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</row>
  </sheetData>
  <sheetProtection algorithmName="SHA-512" hashValue="Ee5l07mJe+UURE2u20bqhylTbgEqQPF4xOc07HQ1b8vhKI5UUfdJE0v5tAvVGX6wu+Io+VQvqiumMpxoVPyB3Q==" saltValue="IF/WHZzaeRELca7daZKmQw==" spinCount="100000" sheet="1" objects="1" scenarios="1" selectLockedCells="1"/>
  <mergeCells count="4">
    <mergeCell ref="E2:G2"/>
    <mergeCell ref="C5:E5"/>
    <mergeCell ref="I5:K5"/>
    <mergeCell ref="O5:Q5"/>
  </mergeCells>
  <conditionalFormatting sqref="C5:E5">
    <cfRule type="expression" dxfId="28" priority="3">
      <formula>AND(ISBLANK($C$5),$B$7&lt;&gt;"")</formula>
    </cfRule>
  </conditionalFormatting>
  <conditionalFormatting sqref="I5:K5">
    <cfRule type="expression" dxfId="27" priority="2">
      <formula>AND(ISBLANK($I$5),$H$7&lt;&gt;"")</formula>
    </cfRule>
  </conditionalFormatting>
  <conditionalFormatting sqref="O5:Q5">
    <cfRule type="expression" dxfId="26" priority="1">
      <formula>AND(ISBLANK($O$5),$N$7&lt;&gt;"")</formula>
    </cfRule>
  </conditionalFormatting>
  <pageMargins left="0.59055118110236227" right="0.59055118110236227" top="0.59055118110236227" bottom="0.62992125984251968" header="0.31496062992125984" footer="0.31496062992125984"/>
  <pageSetup paperSize="9" orientation="landscape" r:id="rId1"/>
  <drawing r:id="rId2"/>
  <tableParts count="3">
    <tablePart r:id="rId3"/>
    <tablePart r:id="rId4"/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7</vt:i4>
      </vt:variant>
    </vt:vector>
  </HeadingPairs>
  <TitlesOfParts>
    <vt:vector size="15" baseType="lpstr">
      <vt:lpstr>Deckblatt</vt:lpstr>
      <vt:lpstr>Meldung</vt:lpstr>
      <vt:lpstr>Startgebühr</vt:lpstr>
      <vt:lpstr>EK w</vt:lpstr>
      <vt:lpstr>EK m</vt:lpstr>
      <vt:lpstr>Paarkür</vt:lpstr>
      <vt:lpstr>Kleingrp</vt:lpstr>
      <vt:lpstr>Großgrp</vt:lpstr>
      <vt:lpstr>'EK m'!Druckbereich</vt:lpstr>
      <vt:lpstr>'EK w'!Druckbereich</vt:lpstr>
      <vt:lpstr>Großgrp!Druckbereich</vt:lpstr>
      <vt:lpstr>Kleingrp!Druckbereich</vt:lpstr>
      <vt:lpstr>Meldung!Druckbereich</vt:lpstr>
      <vt:lpstr>Paarkür!Druckbereich</vt:lpstr>
      <vt:lpstr>Startgebühr!Druckbereich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Reich</dc:creator>
  <cp:lastModifiedBy>Reich</cp:lastModifiedBy>
  <cp:lastPrinted>2019-02-27T18:15:49Z</cp:lastPrinted>
  <dcterms:created xsi:type="dcterms:W3CDTF">2014-01-27T17:38:43Z</dcterms:created>
  <dcterms:modified xsi:type="dcterms:W3CDTF">2019-12-15T19:39:33Z</dcterms:modified>
</cp:coreProperties>
</file>