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cbecky/Desktop/"/>
    </mc:Choice>
  </mc:AlternateContent>
  <xr:revisionPtr revIDLastSave="0" documentId="13_ncr:1_{AAD0A164-7FBF-F74D-94AE-224C46571AEB}" xr6:coauthVersionLast="47" xr6:coauthVersionMax="47" xr10:uidLastSave="{00000000-0000-0000-0000-000000000000}"/>
  <bookViews>
    <workbookView xWindow="0" yWindow="660" windowWidth="30240" windowHeight="17300" activeTab="1" xr2:uid="{1F665A14-611E-4AB1-AC4D-DD4BEEAAFBB0}"/>
  </bookViews>
  <sheets>
    <sheet name="Einstellungen" sheetId="4" state="hidden" r:id="rId1"/>
    <sheet name="Allgemeine Informationen" sheetId="1" r:id="rId2"/>
    <sheet name="Meldeformular" sheetId="3" r:id="rId3"/>
    <sheet name="Einzelkür" sheetId="2" r:id="rId4"/>
    <sheet name="Paarkür" sheetId="5" r:id="rId5"/>
    <sheet name="JE + Expert Einzelkür" sheetId="13" r:id="rId6"/>
    <sheet name="JE + Expert Paarkür" sheetId="7" r:id="rId7"/>
    <sheet name="Kleingruppe" sheetId="8" r:id="rId8"/>
    <sheet name="Großgruppe" sheetId="9" r:id="rId9"/>
    <sheet name="Jury" sheetId="14" r:id="rId10"/>
    <sheet name="Zusammenfassung" sheetId="12" r:id="rId11"/>
  </sheets>
  <definedNames>
    <definedName name="_xlnm._FilterDatabase" localSheetId="2" hidden="1">Meldeformular!$K$9:$L$60</definedName>
    <definedName name="Altersklasse_Cup_Alter">Einstellungen!$A$22:$A$29</definedName>
    <definedName name="Altersklasse_Cup_Kategorie">Einstellungen!$B$22:$B$29</definedName>
    <definedName name="Altersklasse_Kategorie">Einstellungen!$B$32:$B$48</definedName>
    <definedName name="Altersklassen_Alter">Einstellungen!$A$32:$A$48</definedName>
    <definedName name="Geschlecht_Dropdown">Einstellungen!$B$15:$C$15</definedName>
    <definedName name="ja_nein_dropdown">Einstellungen!$B$19:$C$19</definedName>
    <definedName name="Jury_Dropdown">Einstellungen!$B$18:$G$18</definedName>
    <definedName name="Kleingruppe_Großgruppe">Einstellungen!$B$17:$E$17</definedName>
    <definedName name="Meldeformular_Namen">Meldeformular!$B$11:$C$60</definedName>
    <definedName name="Paarkür_dropdown">Einstellungen!$B$16:$U$16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0" i="3" l="1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10" i="3"/>
  <c r="N9" i="3"/>
  <c r="C18" i="1" l="1"/>
  <c r="B9" i="14" a="1"/>
  <c r="B9" i="14" s="1"/>
  <c r="A8" i="13" a="1"/>
  <c r="A8" i="13" s="1"/>
  <c r="A8" i="2" a="1"/>
  <c r="A8" i="2" s="1"/>
  <c r="G22" i="8" a="1"/>
  <c r="G22" i="8" s="1"/>
  <c r="B22" i="8" a="1"/>
  <c r="B22" i="8" s="1"/>
  <c r="G10" i="8" a="1"/>
  <c r="G10" i="8" s="1"/>
  <c r="B10" i="8" a="1"/>
  <c r="B10" i="8" s="1"/>
  <c r="G55" i="7" a="1"/>
  <c r="G55" i="7" s="1"/>
  <c r="B55" i="7" a="1"/>
  <c r="B55" i="7" s="1"/>
  <c r="G50" i="7" a="1"/>
  <c r="G50" i="7" s="1"/>
  <c r="B50" i="7" a="1"/>
  <c r="B50" i="7" s="1"/>
  <c r="G45" i="7" a="1"/>
  <c r="G45" i="7" s="1"/>
  <c r="B45" i="7" a="1"/>
  <c r="B45" i="7" s="1"/>
  <c r="G40" i="7" a="1"/>
  <c r="G40" i="7" s="1"/>
  <c r="B40" i="7" a="1"/>
  <c r="B40" i="7" s="1"/>
  <c r="G35" i="7" a="1"/>
  <c r="G35" i="7" s="1"/>
  <c r="B35" i="7" a="1"/>
  <c r="B35" i="7" s="1"/>
  <c r="G30" i="7" a="1"/>
  <c r="G30" i="7" s="1"/>
  <c r="B30" i="7" a="1"/>
  <c r="B30" i="7" s="1"/>
  <c r="G25" i="7" a="1"/>
  <c r="G25" i="7" s="1"/>
  <c r="B25" i="7" a="1"/>
  <c r="B25" i="7" s="1"/>
  <c r="B20" i="7" a="1"/>
  <c r="B20" i="7" s="1"/>
  <c r="G20" i="7" a="1"/>
  <c r="G20" i="7" s="1"/>
  <c r="G15" i="7" a="1"/>
  <c r="G15" i="7" s="1"/>
  <c r="B15" i="7" a="1"/>
  <c r="B15" i="7" s="1"/>
  <c r="G10" i="7" a="1"/>
  <c r="G10" i="7" s="1"/>
  <c r="B10" i="7" a="1"/>
  <c r="B10" i="7" s="1"/>
  <c r="G55" i="5" a="1"/>
  <c r="G55" i="5" s="1"/>
  <c r="B55" i="5" a="1"/>
  <c r="B55" i="5" s="1"/>
  <c r="G50" i="5" a="1"/>
  <c r="G50" i="5" s="1"/>
  <c r="B50" i="5" a="1"/>
  <c r="B50" i="5" s="1"/>
  <c r="G45" i="5" a="1"/>
  <c r="G45" i="5" s="1"/>
  <c r="B45" i="5" a="1"/>
  <c r="B45" i="5" s="1"/>
  <c r="G40" i="5" a="1"/>
  <c r="G40" i="5" s="1"/>
  <c r="B40" i="5" a="1"/>
  <c r="B40" i="5" s="1"/>
  <c r="G35" i="5" a="1"/>
  <c r="G35" i="5" s="1"/>
  <c r="B35" i="5" a="1"/>
  <c r="B35" i="5" s="1"/>
  <c r="G30" i="5" a="1"/>
  <c r="G30" i="5" s="1"/>
  <c r="B30" i="5" a="1"/>
  <c r="B30" i="5" s="1"/>
  <c r="G25" i="5" a="1"/>
  <c r="G25" i="5" s="1"/>
  <c r="B25" i="5" a="1"/>
  <c r="B25" i="5" s="1"/>
  <c r="G20" i="5" a="1"/>
  <c r="G20" i="5" s="1"/>
  <c r="B20" i="5" a="1"/>
  <c r="B20" i="5" s="1"/>
  <c r="G15" i="5" a="1"/>
  <c r="G15" i="5" s="1"/>
  <c r="B15" i="5" a="1"/>
  <c r="B15" i="5" s="1"/>
  <c r="G10" i="5" a="1"/>
  <c r="G10" i="5" s="1"/>
  <c r="B10" i="5" a="1"/>
  <c r="B10" i="5" s="1"/>
  <c r="D27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F33" i="5"/>
  <c r="A33" i="5"/>
  <c r="F28" i="5"/>
  <c r="A28" i="5"/>
  <c r="F23" i="5"/>
  <c r="A23" i="5"/>
  <c r="F18" i="5"/>
  <c r="A18" i="5"/>
  <c r="F8" i="5"/>
  <c r="D27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B5" i="12"/>
  <c r="A3" i="12"/>
  <c r="A1" i="12"/>
  <c r="F35" i="9"/>
  <c r="I37" i="9" a="1"/>
  <c r="I37" i="9" s="1"/>
  <c r="G37" i="9" a="1"/>
  <c r="G37" i="9" s="1"/>
  <c r="D37" i="9" a="1"/>
  <c r="D37" i="9" s="1"/>
  <c r="B37" i="9" a="1"/>
  <c r="B37" i="9" s="1"/>
  <c r="A35" i="9"/>
  <c r="C5" i="14"/>
  <c r="A3" i="14"/>
  <c r="A1" i="14"/>
  <c r="G10" i="9" a="1"/>
  <c r="G10" i="9" s="1"/>
  <c r="F8" i="9"/>
  <c r="B10" i="9" a="1"/>
  <c r="B10" i="9" s="1"/>
  <c r="B5" i="9"/>
  <c r="A3" i="9"/>
  <c r="A1" i="9"/>
  <c r="F20" i="8"/>
  <c r="A20" i="8"/>
  <c r="I22" i="8" a="1"/>
  <c r="I22" i="8" s="1"/>
  <c r="D22" i="8" a="1"/>
  <c r="D22" i="8" s="1"/>
  <c r="B5" i="8"/>
  <c r="A3" i="8"/>
  <c r="A1" i="8"/>
  <c r="I55" i="7" a="1"/>
  <c r="I55" i="7" s="1"/>
  <c r="F53" i="7"/>
  <c r="D55" i="7" a="1"/>
  <c r="D55" i="7" s="1"/>
  <c r="A53" i="7"/>
  <c r="I50" i="7" a="1"/>
  <c r="I50" i="7" s="1"/>
  <c r="F48" i="7"/>
  <c r="D50" i="7" a="1"/>
  <c r="D50" i="7" s="1"/>
  <c r="A48" i="7"/>
  <c r="I45" i="7" a="1"/>
  <c r="I45" i="7" s="1"/>
  <c r="F43" i="7"/>
  <c r="D45" i="7" a="1"/>
  <c r="D45" i="7" s="1"/>
  <c r="A43" i="7"/>
  <c r="I40" i="7" a="1"/>
  <c r="I40" i="7" s="1"/>
  <c r="F38" i="7"/>
  <c r="D40" i="7" a="1"/>
  <c r="D40" i="7" s="1"/>
  <c r="A38" i="7"/>
  <c r="I35" i="7" a="1"/>
  <c r="I35" i="7" s="1"/>
  <c r="F33" i="7"/>
  <c r="D35" i="7" a="1"/>
  <c r="D35" i="7" s="1"/>
  <c r="A33" i="7"/>
  <c r="I30" i="7" a="1"/>
  <c r="I30" i="7" s="1"/>
  <c r="F28" i="7"/>
  <c r="D30" i="7" a="1"/>
  <c r="D30" i="7" s="1"/>
  <c r="A28" i="7"/>
  <c r="I25" i="7" a="1"/>
  <c r="I25" i="7" s="1"/>
  <c r="F23" i="7"/>
  <c r="D25" i="7" a="1"/>
  <c r="D25" i="7" s="1"/>
  <c r="A23" i="7"/>
  <c r="I20" i="7" a="1"/>
  <c r="I20" i="7" s="1"/>
  <c r="F18" i="7"/>
  <c r="A18" i="7"/>
  <c r="I15" i="7" a="1"/>
  <c r="I15" i="7" s="1"/>
  <c r="F13" i="7"/>
  <c r="D15" i="7" a="1"/>
  <c r="D15" i="7" s="1"/>
  <c r="I10" i="7" a="1"/>
  <c r="I10" i="7" s="1"/>
  <c r="F8" i="7"/>
  <c r="B5" i="7"/>
  <c r="A3" i="7"/>
  <c r="A1" i="7"/>
  <c r="F53" i="5"/>
  <c r="A53" i="5"/>
  <c r="F48" i="5"/>
  <c r="A48" i="5"/>
  <c r="F43" i="5"/>
  <c r="A43" i="5"/>
  <c r="F38" i="5"/>
  <c r="A38" i="5"/>
  <c r="B5" i="13"/>
  <c r="A3" i="13"/>
  <c r="A1" i="13"/>
  <c r="I55" i="5" a="1"/>
  <c r="I55" i="5" s="1"/>
  <c r="D55" i="5" a="1"/>
  <c r="D55" i="5" s="1"/>
  <c r="I50" i="5" a="1"/>
  <c r="I50" i="5" s="1"/>
  <c r="D50" i="5" a="1"/>
  <c r="D50" i="5" s="1"/>
  <c r="I45" i="5" a="1"/>
  <c r="I45" i="5" s="1"/>
  <c r="D45" i="5" a="1"/>
  <c r="D45" i="5" s="1"/>
  <c r="I40" i="5" a="1"/>
  <c r="I40" i="5" s="1"/>
  <c r="D40" i="5" a="1"/>
  <c r="D40" i="5" s="1"/>
  <c r="I35" i="5" a="1"/>
  <c r="I35" i="5" s="1"/>
  <c r="D35" i="5" a="1"/>
  <c r="D35" i="5" s="1"/>
  <c r="I30" i="5" a="1"/>
  <c r="I30" i="5" s="1"/>
  <c r="D30" i="5" a="1"/>
  <c r="D30" i="5" s="1"/>
  <c r="I25" i="5" a="1"/>
  <c r="I25" i="5" s="1"/>
  <c r="D25" i="5" a="1"/>
  <c r="D25" i="5" s="1"/>
  <c r="I20" i="5" a="1"/>
  <c r="I20" i="5" s="1"/>
  <c r="D20" i="5" a="1"/>
  <c r="D20" i="5" s="1"/>
  <c r="I10" i="5" a="1"/>
  <c r="I10" i="5" s="1"/>
  <c r="B5" i="5"/>
  <c r="A3" i="5"/>
  <c r="A1" i="5"/>
  <c r="B5" i="2"/>
  <c r="A3" i="2"/>
  <c r="A1" i="2"/>
  <c r="A13" i="7" l="1"/>
  <c r="B7" i="12"/>
  <c r="F11" i="3"/>
  <c r="D9" i="14" s="1" a="1"/>
  <c r="D9" i="14" s="1"/>
  <c r="F12" i="3"/>
  <c r="I15" i="5" s="1" a="1"/>
  <c r="I15" i="5" s="1"/>
  <c r="F13" i="5" s="1"/>
  <c r="F13" i="3"/>
  <c r="I10" i="9" s="1" a="1"/>
  <c r="I10" i="9" s="1"/>
  <c r="F14" i="3"/>
  <c r="D20" i="7" s="1" a="1"/>
  <c r="D20" i="7" s="1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10" i="3"/>
  <c r="F9" i="3"/>
  <c r="C8" i="2" l="1" a="1"/>
  <c r="D10" i="8" a="1"/>
  <c r="D10" i="8" s="1"/>
  <c r="A8" i="8" s="1"/>
  <c r="C8" i="13" a="1"/>
  <c r="D10" i="9" a="1"/>
  <c r="I10" i="8" a="1"/>
  <c r="D10" i="7" a="1"/>
  <c r="D15" i="5" a="1"/>
  <c r="D10" i="5" a="1"/>
  <c r="C6" i="3"/>
  <c r="A3" i="3"/>
  <c r="A1" i="3"/>
  <c r="C25" i="1"/>
  <c r="C23" i="1"/>
  <c r="C17" i="1"/>
  <c r="A3" i="1"/>
  <c r="A1" i="1"/>
  <c r="C8" i="2" l="1"/>
  <c r="D8" i="2" s="1"/>
  <c r="D10" i="2"/>
  <c r="D9" i="2"/>
  <c r="C8" i="13"/>
  <c r="D8" i="13" s="1"/>
  <c r="D9" i="13"/>
  <c r="I10" i="8"/>
  <c r="F8" i="8" s="1"/>
  <c r="D10" i="9"/>
  <c r="A8" i="9" s="1"/>
  <c r="D10" i="5"/>
  <c r="A8" i="5" s="1"/>
  <c r="D10" i="7"/>
  <c r="A8" i="7" s="1"/>
  <c r="D15" i="5"/>
  <c r="A1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<sst xmlns="http://schemas.openxmlformats.org/spreadsheetml/2006/main" count="409" uniqueCount="124">
  <si>
    <t>Verein</t>
  </si>
  <si>
    <t>Ansprechpartner</t>
  </si>
  <si>
    <t>Straße</t>
  </si>
  <si>
    <t>Postleitzahl</t>
  </si>
  <si>
    <t>Wohnort</t>
  </si>
  <si>
    <t>E-Mail</t>
  </si>
  <si>
    <t>Telefon</t>
  </si>
  <si>
    <t>Handy</t>
  </si>
  <si>
    <t>Startgebühr</t>
  </si>
  <si>
    <t>Name Wettbewerb</t>
  </si>
  <si>
    <t>Diese Seite sollte komplett ausgeblendet werden, sie ist notwendig um ohne VBA arbeiten zu können</t>
  </si>
  <si>
    <t>Datum Wettbewerb (von bis)</t>
  </si>
  <si>
    <t>Datum für Altersklassenwahl</t>
  </si>
  <si>
    <t xml:space="preserve">Startgebühr </t>
  </si>
  <si>
    <t>Meldeschluss</t>
  </si>
  <si>
    <t>Meldeaddresse</t>
  </si>
  <si>
    <t xml:space="preserve">Nr. </t>
  </si>
  <si>
    <t>Name</t>
  </si>
  <si>
    <t>Vorname</t>
  </si>
  <si>
    <t>Geschlecht</t>
  </si>
  <si>
    <t>Geburtsdatum</t>
  </si>
  <si>
    <t>Alter</t>
  </si>
  <si>
    <t>Einzelkür</t>
  </si>
  <si>
    <t>Paarkür</t>
  </si>
  <si>
    <t>JE+Expert Einzelkür</t>
  </si>
  <si>
    <t>JE + Expert Paarkür</t>
  </si>
  <si>
    <t>Kleingruppe</t>
  </si>
  <si>
    <t>Großgruppe</t>
  </si>
  <si>
    <t>abweichender Verein</t>
  </si>
  <si>
    <t>Meldegebühr über abw. Verein</t>
  </si>
  <si>
    <t>Dropdowns:</t>
  </si>
  <si>
    <t>m</t>
  </si>
  <si>
    <t>w</t>
  </si>
  <si>
    <t>Fahrer</t>
  </si>
  <si>
    <t xml:space="preserve">Name </t>
  </si>
  <si>
    <t>Gesamtbetrag Meldegebühr in Euro</t>
  </si>
  <si>
    <t xml:space="preserve">Überweisen an </t>
  </si>
  <si>
    <t>Verwendungszweck</t>
  </si>
  <si>
    <t>EK U11</t>
  </si>
  <si>
    <t>EK U15</t>
  </si>
  <si>
    <t>PK U11</t>
  </si>
  <si>
    <t>PK U13</t>
  </si>
  <si>
    <t>PK U15</t>
  </si>
  <si>
    <t>Nachname</t>
  </si>
  <si>
    <t>Altersklasse</t>
  </si>
  <si>
    <t>Altersgrenze</t>
  </si>
  <si>
    <t>Kategorie</t>
  </si>
  <si>
    <t>Kürname</t>
  </si>
  <si>
    <t>Beispiel 1</t>
  </si>
  <si>
    <t>Beispiel 2</t>
  </si>
  <si>
    <t>Einrad</t>
  </si>
  <si>
    <t xml:space="preserve">Einrad </t>
  </si>
  <si>
    <t>U 9</t>
  </si>
  <si>
    <t>U11</t>
  </si>
  <si>
    <t>U13</t>
  </si>
  <si>
    <t>U15</t>
  </si>
  <si>
    <t>Kleingruppe/Großgruppe</t>
  </si>
  <si>
    <t>Altersklassen Cup</t>
  </si>
  <si>
    <t>15+</t>
  </si>
  <si>
    <t>Altersklassen Andere</t>
  </si>
  <si>
    <t>U17</t>
  </si>
  <si>
    <t>U19</t>
  </si>
  <si>
    <t>U21</t>
  </si>
  <si>
    <t>U23</t>
  </si>
  <si>
    <t>U25</t>
  </si>
  <si>
    <t>25+</t>
  </si>
  <si>
    <t>(Kürname eintragen)</t>
  </si>
  <si>
    <t>Junior Expert und Expert Einzelkür</t>
  </si>
  <si>
    <t>Junior Expert und Expert Paarkür</t>
  </si>
  <si>
    <t>JE</t>
  </si>
  <si>
    <t>E</t>
  </si>
  <si>
    <t>EK U17</t>
  </si>
  <si>
    <t>EK U19</t>
  </si>
  <si>
    <t>EK U21</t>
  </si>
  <si>
    <t>EK U23</t>
  </si>
  <si>
    <t>EK U25</t>
  </si>
  <si>
    <t>EK 25+</t>
  </si>
  <si>
    <t>EK U13</t>
  </si>
  <si>
    <t>EK U9</t>
  </si>
  <si>
    <t>PK U9</t>
  </si>
  <si>
    <t>PK U19</t>
  </si>
  <si>
    <t>PK U21</t>
  </si>
  <si>
    <t>PK U23</t>
  </si>
  <si>
    <t>PK U25</t>
  </si>
  <si>
    <t>Jury</t>
  </si>
  <si>
    <t>t</t>
  </si>
  <si>
    <t>t/a</t>
  </si>
  <si>
    <t>p</t>
  </si>
  <si>
    <t>p/a</t>
  </si>
  <si>
    <t>a</t>
  </si>
  <si>
    <t>t/p/a</t>
  </si>
  <si>
    <t>Nr.</t>
  </si>
  <si>
    <t>EK 15+</t>
  </si>
  <si>
    <t>PK 15+</t>
  </si>
  <si>
    <t>KG 15+</t>
  </si>
  <si>
    <t>GG 15+</t>
  </si>
  <si>
    <t>Zusammenfassung</t>
  </si>
  <si>
    <t>Ja/Nein</t>
  </si>
  <si>
    <t>ja</t>
  </si>
  <si>
    <t>nein</t>
  </si>
  <si>
    <t>Danach Blatt schützen</t>
  </si>
  <si>
    <t>Blatt ausblenden</t>
  </si>
  <si>
    <t>Arbeitsmappe schützen</t>
  </si>
  <si>
    <t>Meldeadresse/</t>
  </si>
  <si>
    <t>Musik</t>
  </si>
  <si>
    <t>Altersklassen Gruppenkür</t>
  </si>
  <si>
    <t>CUP</t>
  </si>
  <si>
    <t>Einzelkür Cup</t>
  </si>
  <si>
    <t>Paarkür Cup</t>
  </si>
  <si>
    <t>Informationen</t>
  </si>
  <si>
    <t>Württembergische Meisterschaft und Edelweiß Cup</t>
  </si>
  <si>
    <t>schriftfuehrer@rv-wellendingen.de</t>
  </si>
  <si>
    <t>WÜM</t>
  </si>
  <si>
    <t>Edelweiß Cup</t>
  </si>
  <si>
    <t>Württembergische Meisterschaft</t>
  </si>
  <si>
    <t>Radfahrerverein Edelweiss eV</t>
  </si>
  <si>
    <t>DE38642901200062223003</t>
  </si>
  <si>
    <t>WuEM2026</t>
  </si>
  <si>
    <t>GG U15</t>
  </si>
  <si>
    <t>KG U15</t>
  </si>
  <si>
    <t>PK 25+</t>
  </si>
  <si>
    <t>PKU17</t>
  </si>
  <si>
    <t>Startgebühr nur eine Kür</t>
  </si>
  <si>
    <t>Ein Kür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</si>
</sst>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[$-F800]dddd\,\ mmmm\ dd\,\ yyyy"/>
  </numFmts>
  <fonts count="13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6"/>
      <color theme="1"/>
      <name val="Aptos Display"/>
      <family val="2"/>
      <scheme val="major"/>
    </font>
    <font>
      <b/>
      <sz val="14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b/>
      <sz val="12"/>
      <color theme="1"/>
      <name val="Aptos Narrow"/>
      <scheme val="minor"/>
    </font>
    <font>
      <b/>
      <sz val="20"/>
      <color theme="1"/>
      <name val="Aptos Display"/>
      <family val="2"/>
      <scheme val="major"/>
    </font>
    <font>
      <b/>
      <sz val="22"/>
      <color theme="1"/>
      <name val="Aptos Display"/>
      <family val="2"/>
      <scheme val="major"/>
    </font>
    <font>
      <sz val="10"/>
      <color theme="1"/>
      <name val="Calibri"/>
      <family val="2"/>
    </font>
    <font>
      <sz val="11"/>
      <color theme="1"/>
      <name val="Aptos Narrow"/>
      <scheme val="minor"/>
    </font>
    <font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8">
    <xf numFmtId="0" fontId="0" fillId="0" borderId="0" xfId="0"/>
    <xf numFmtId="44" fontId="0" fillId="0" borderId="0" xfId="0" applyNumberFormat="1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5" borderId="3" xfId="0" applyFill="1" applyBorder="1" applyAlignment="1">
      <alignment horizontal="center" vertical="center"/>
    </xf>
    <xf numFmtId="0" fontId="0" fillId="5" borderId="3" xfId="0" applyFill="1" applyBorder="1"/>
    <xf numFmtId="0" fontId="0" fillId="5" borderId="3" xfId="0" applyFill="1" applyBorder="1" applyAlignment="1">
      <alignment horizontal="center"/>
    </xf>
    <xf numFmtId="44" fontId="0" fillId="5" borderId="3" xfId="0" applyNumberFormat="1" applyFill="1" applyBorder="1"/>
    <xf numFmtId="0" fontId="3" fillId="2" borderId="0" xfId="0" applyFont="1" applyFill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2" borderId="5" xfId="0" applyFill="1" applyBorder="1"/>
    <xf numFmtId="0" fontId="0" fillId="2" borderId="2" xfId="0" applyFill="1" applyBorder="1"/>
    <xf numFmtId="0" fontId="0" fillId="2" borderId="11" xfId="0" applyFill="1" applyBorder="1"/>
    <xf numFmtId="0" fontId="0" fillId="4" borderId="3" xfId="0" applyFill="1" applyBorder="1" applyProtection="1">
      <protection locked="0"/>
    </xf>
    <xf numFmtId="0" fontId="0" fillId="0" borderId="0" xfId="0" applyProtection="1">
      <protection locked="0"/>
    </xf>
    <xf numFmtId="0" fontId="0" fillId="3" borderId="3" xfId="0" applyFill="1" applyBorder="1" applyProtection="1">
      <protection locked="0"/>
    </xf>
    <xf numFmtId="164" fontId="0" fillId="2" borderId="0" xfId="0" applyNumberFormat="1" applyFill="1"/>
    <xf numFmtId="164" fontId="0" fillId="2" borderId="0" xfId="0" applyNumberFormat="1" applyFill="1" applyAlignment="1">
      <alignment horizontal="left"/>
    </xf>
    <xf numFmtId="165" fontId="0" fillId="2" borderId="0" xfId="0" applyNumberFormat="1" applyFill="1" applyAlignment="1">
      <alignment horizontal="left"/>
    </xf>
    <xf numFmtId="0" fontId="1" fillId="2" borderId="0" xfId="1" applyFill="1" applyProtection="1"/>
    <xf numFmtId="0" fontId="0" fillId="3" borderId="8" xfId="0" applyFill="1" applyBorder="1" applyProtection="1">
      <protection locked="0"/>
    </xf>
    <xf numFmtId="0" fontId="0" fillId="4" borderId="8" xfId="0" applyFill="1" applyBorder="1" applyProtection="1">
      <protection locked="0"/>
    </xf>
    <xf numFmtId="0" fontId="3" fillId="2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0" fillId="5" borderId="4" xfId="0" applyFill="1" applyBorder="1" applyAlignment="1">
      <alignment horizontal="center" vertical="center"/>
    </xf>
    <xf numFmtId="0" fontId="0" fillId="3" borderId="4" xfId="0" applyFill="1" applyBorder="1" applyProtection="1">
      <protection locked="0"/>
    </xf>
    <xf numFmtId="0" fontId="0" fillId="3" borderId="9" xfId="0" applyFill="1" applyBorder="1" applyProtection="1">
      <protection locked="0"/>
    </xf>
    <xf numFmtId="0" fontId="0" fillId="0" borderId="0" xfId="0" applyAlignment="1">
      <alignment horizontal="center" vertical="center"/>
    </xf>
    <xf numFmtId="0" fontId="0" fillId="5" borderId="8" xfId="0" applyFill="1" applyBorder="1"/>
    <xf numFmtId="0" fontId="0" fillId="0" borderId="0" xfId="0" applyAlignment="1" applyProtection="1">
      <alignment horizontal="center"/>
      <protection locked="0"/>
    </xf>
    <xf numFmtId="0" fontId="0" fillId="6" borderId="0" xfId="0" applyFill="1"/>
    <xf numFmtId="14" fontId="0" fillId="6" borderId="0" xfId="0" applyNumberFormat="1" applyFill="1"/>
    <xf numFmtId="164" fontId="0" fillId="6" borderId="0" xfId="0" applyNumberFormat="1" applyFill="1" applyAlignment="1">
      <alignment horizontal="left"/>
    </xf>
    <xf numFmtId="0" fontId="0" fillId="3" borderId="8" xfId="0" applyFill="1" applyBorder="1" applyAlignment="1" applyProtection="1">
      <alignment horizontal="center"/>
      <protection locked="0"/>
    </xf>
    <xf numFmtId="0" fontId="1" fillId="0" borderId="0" xfId="1" applyFill="1"/>
    <xf numFmtId="0" fontId="0" fillId="5" borderId="4" xfId="0" applyFill="1" applyBorder="1"/>
    <xf numFmtId="0" fontId="0" fillId="4" borderId="3" xfId="0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14" fontId="0" fillId="5" borderId="8" xfId="0" applyNumberFormat="1" applyFill="1" applyBorder="1" applyAlignment="1">
      <alignment horizontal="center"/>
    </xf>
    <xf numFmtId="14" fontId="0" fillId="4" borderId="8" xfId="0" applyNumberFormat="1" applyFill="1" applyBorder="1" applyAlignment="1" applyProtection="1">
      <alignment horizontal="center"/>
      <protection locked="0"/>
    </xf>
    <xf numFmtId="14" fontId="0" fillId="3" borderId="8" xfId="0" applyNumberFormat="1" applyFill="1" applyBorder="1" applyAlignment="1" applyProtection="1">
      <alignment horizontal="center"/>
      <protection locked="0"/>
    </xf>
    <xf numFmtId="14" fontId="0" fillId="3" borderId="9" xfId="0" applyNumberFormat="1" applyFill="1" applyBorder="1" applyAlignment="1" applyProtection="1">
      <alignment horizontal="center"/>
      <protection locked="0"/>
    </xf>
    <xf numFmtId="0" fontId="0" fillId="4" borderId="8" xfId="0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center"/>
      <protection locked="0"/>
    </xf>
    <xf numFmtId="0" fontId="5" fillId="2" borderId="0" xfId="0" applyFont="1" applyFill="1"/>
    <xf numFmtId="44" fontId="0" fillId="2" borderId="0" xfId="0" applyNumberFormat="1" applyFill="1"/>
    <xf numFmtId="0" fontId="5" fillId="6" borderId="3" xfId="0" applyFont="1" applyFill="1" applyBorder="1"/>
    <xf numFmtId="0" fontId="5" fillId="6" borderId="3" xfId="0" applyFont="1" applyFill="1" applyBorder="1" applyAlignment="1">
      <alignment horizontal="center" vertical="center" textRotation="90"/>
    </xf>
    <xf numFmtId="0" fontId="5" fillId="6" borderId="8" xfId="0" applyFont="1" applyFill="1" applyBorder="1" applyAlignment="1">
      <alignment horizontal="center" vertical="center" textRotation="90"/>
    </xf>
    <xf numFmtId="0" fontId="5" fillId="6" borderId="8" xfId="0" applyFont="1" applyFill="1" applyBorder="1" applyAlignment="1">
      <alignment horizontal="center" vertical="center" textRotation="90" wrapText="1"/>
    </xf>
    <xf numFmtId="0" fontId="5" fillId="2" borderId="0" xfId="0" applyFont="1" applyFill="1" applyAlignment="1">
      <alignment horizontal="left" vertical="center"/>
    </xf>
    <xf numFmtId="0" fontId="0" fillId="6" borderId="3" xfId="0" applyFill="1" applyBorder="1" applyAlignment="1">
      <alignment horizontal="center"/>
    </xf>
    <xf numFmtId="0" fontId="5" fillId="6" borderId="3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/>
    </xf>
    <xf numFmtId="0" fontId="5" fillId="0" borderId="0" xfId="0" applyFont="1"/>
    <xf numFmtId="0" fontId="0" fillId="6" borderId="8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15" fontId="0" fillId="6" borderId="0" xfId="0" applyNumberFormat="1" applyFill="1"/>
    <xf numFmtId="0" fontId="9" fillId="0" borderId="0" xfId="0" applyFont="1"/>
    <xf numFmtId="0" fontId="0" fillId="4" borderId="7" xfId="0" applyFill="1" applyBorder="1" applyProtection="1">
      <protection locked="0"/>
    </xf>
    <xf numFmtId="0" fontId="0" fillId="3" borderId="7" xfId="0" applyFill="1" applyBorder="1" applyProtection="1">
      <protection locked="0"/>
    </xf>
    <xf numFmtId="0" fontId="0" fillId="3" borderId="10" xfId="0" applyFill="1" applyBorder="1" applyProtection="1">
      <protection locked="0"/>
    </xf>
    <xf numFmtId="15" fontId="5" fillId="2" borderId="0" xfId="0" applyNumberFormat="1" applyFont="1" applyFill="1" applyAlignment="1">
      <alignment vertical="center"/>
    </xf>
    <xf numFmtId="0" fontId="10" fillId="2" borderId="0" xfId="0" applyFont="1" applyFill="1"/>
    <xf numFmtId="0" fontId="11" fillId="0" borderId="0" xfId="0" applyFont="1"/>
    <xf numFmtId="0" fontId="0" fillId="6" borderId="0" xfId="0" applyFill="1" applyAlignment="1">
      <alignment horizontal="center"/>
    </xf>
    <xf numFmtId="0" fontId="0" fillId="6" borderId="5" xfId="0" applyFill="1" applyBorder="1" applyAlignment="1">
      <alignment horizontal="center"/>
    </xf>
    <xf numFmtId="0" fontId="12" fillId="2" borderId="0" xfId="0" applyFont="1" applyFill="1" applyAlignment="1">
      <alignment wrapText="1"/>
    </xf>
    <xf numFmtId="164" fontId="0" fillId="2" borderId="0" xfId="0" applyNumberFormat="1" applyFill="1" applyAlignment="1">
      <alignment horizontal="left" vertical="center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15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0" fillId="2" borderId="0" xfId="0" applyFill="1" applyAlignment="1">
      <alignment horizontal="left"/>
    </xf>
    <xf numFmtId="0" fontId="5" fillId="6" borderId="8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0" fillId="2" borderId="0" xfId="0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3" borderId="8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8" fillId="2" borderId="0" xfId="0" applyFont="1" applyFill="1" applyAlignment="1">
      <alignment horizontal="center" vertical="center"/>
    </xf>
    <xf numFmtId="0" fontId="5" fillId="6" borderId="3" xfId="0" applyFont="1" applyFill="1" applyBorder="1" applyAlignment="1">
      <alignment horizontal="center"/>
    </xf>
  </cellXfs>
  <cellStyles count="2">
    <cellStyle name="Link" xfId="1" builtinId="8"/>
    <cellStyle name="Standard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</dxfs>
  <tableStyles count="1" defaultTableStyle="TableStyleMedium2" defaultPivotStyle="PivotStyleLight16">
    <tableStyle name="TVA_grün" pivot="0" count="2" xr9:uid="{F3D566DE-687C-48DA-89E6-1D43DF421647}">
      <tableStyleElement type="firstRowStripe" dxfId="7"/>
      <tableStyleElement type="secondRowStripe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695324</xdr:colOff>
      <xdr:row>2</xdr:row>
      <xdr:rowOff>156210</xdr:rowOff>
    </xdr:from>
    <xdr:to>
      <xdr:col>9</xdr:col>
      <xdr:colOff>123437</xdr:colOff>
      <xdr:row>11</xdr:row>
      <xdr:rowOff>56898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BA6B45F-1ED4-2E97-9835-423395C1D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86499" y="537210"/>
          <a:ext cx="2476113" cy="1615188"/>
        </a:xfrm>
        <a:prstGeom prst="rect">
          <a:avLst/>
        </a:prstGeom>
      </xdr:spPr>
    </xdr:pic>
    <xdr:clientData/>
  </xdr:twoCellAnchor>
  <xdr:twoCellAnchor editAs="oneCell">
    <xdr:from>
      <xdr:col>3</xdr:col>
      <xdr:colOff>1</xdr:colOff>
      <xdr:row>2</xdr:row>
      <xdr:rowOff>28574</xdr:rowOff>
    </xdr:from>
    <xdr:to>
      <xdr:col>5</xdr:col>
      <xdr:colOff>161925</xdr:colOff>
      <xdr:row>13</xdr:row>
      <xdr:rowOff>84201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3E85AE6-84F4-EC0A-C526-D1122556C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67176" y="409574"/>
          <a:ext cx="1685924" cy="2151127"/>
        </a:xfrm>
        <a:prstGeom prst="rect">
          <a:avLst/>
        </a:prstGeom>
      </xdr:spPr>
    </xdr:pic>
    <xdr:clientData/>
  </xdr:twoCellAnchor>
  <xdr:twoCellAnchor editAs="oneCell">
    <xdr:from>
      <xdr:col>10</xdr:col>
      <xdr:colOff>9525</xdr:colOff>
      <xdr:row>2</xdr:row>
      <xdr:rowOff>177028</xdr:rowOff>
    </xdr:from>
    <xdr:to>
      <xdr:col>12</xdr:col>
      <xdr:colOff>619125</xdr:colOff>
      <xdr:row>13</xdr:row>
      <xdr:rowOff>70349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39750AC-B06B-A480-D4C3-F65160E1AD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410700" y="558028"/>
          <a:ext cx="2133600" cy="19888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mail@einrad.d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F82B4-FECF-4EDA-A289-6742DF2B5877}">
  <dimension ref="A1:U52"/>
  <sheetViews>
    <sheetView zoomScale="229" zoomScaleNormal="229" workbookViewId="0">
      <selection activeCell="B11" sqref="B11"/>
    </sheetView>
  </sheetViews>
  <sheetFormatPr baseColWidth="10" defaultRowHeight="15" x14ac:dyDescent="0.2"/>
  <cols>
    <col min="1" max="1" width="25" customWidth="1"/>
    <col min="2" max="2" width="24.5" customWidth="1"/>
  </cols>
  <sheetData>
    <row r="1" spans="1:21" x14ac:dyDescent="0.2">
      <c r="A1" t="s">
        <v>10</v>
      </c>
    </row>
    <row r="2" spans="1:21" x14ac:dyDescent="0.2">
      <c r="D2" t="s">
        <v>100</v>
      </c>
      <c r="G2" t="s">
        <v>101</v>
      </c>
      <c r="K2" t="s">
        <v>102</v>
      </c>
    </row>
    <row r="4" spans="1:21" x14ac:dyDescent="0.2">
      <c r="A4" s="83" t="s">
        <v>109</v>
      </c>
      <c r="B4" s="83"/>
    </row>
    <row r="5" spans="1:21" x14ac:dyDescent="0.2">
      <c r="A5" t="s">
        <v>9</v>
      </c>
      <c r="B5" s="37" t="s">
        <v>110</v>
      </c>
    </row>
    <row r="6" spans="1:21" x14ac:dyDescent="0.2">
      <c r="A6" t="s">
        <v>11</v>
      </c>
      <c r="B6" s="66">
        <v>46151</v>
      </c>
    </row>
    <row r="7" spans="1:21" x14ac:dyDescent="0.2">
      <c r="A7" t="s">
        <v>12</v>
      </c>
      <c r="B7" s="38">
        <v>46151</v>
      </c>
    </row>
    <row r="8" spans="1:21" x14ac:dyDescent="0.2">
      <c r="A8" t="s">
        <v>13</v>
      </c>
      <c r="B8" s="39">
        <v>25</v>
      </c>
    </row>
    <row r="9" spans="1:21" x14ac:dyDescent="0.2">
      <c r="A9" t="s">
        <v>123</v>
      </c>
      <c r="B9" s="39">
        <v>10</v>
      </c>
    </row>
    <row r="10" spans="1:21" x14ac:dyDescent="0.2">
      <c r="A10" t="s">
        <v>14</v>
      </c>
      <c r="B10" s="38">
        <v>46129</v>
      </c>
    </row>
    <row r="11" spans="1:21" x14ac:dyDescent="0.2">
      <c r="A11" t="s">
        <v>15</v>
      </c>
      <c r="B11" s="67" t="s">
        <v>111</v>
      </c>
    </row>
    <row r="14" spans="1:21" x14ac:dyDescent="0.2">
      <c r="A14" t="s">
        <v>30</v>
      </c>
    </row>
    <row r="15" spans="1:21" x14ac:dyDescent="0.2">
      <c r="A15" t="s">
        <v>19</v>
      </c>
      <c r="B15" t="s">
        <v>31</v>
      </c>
      <c r="C15" t="s">
        <v>32</v>
      </c>
    </row>
    <row r="16" spans="1:21" x14ac:dyDescent="0.2">
      <c r="A16" t="s">
        <v>23</v>
      </c>
      <c r="B16">
        <v>1</v>
      </c>
      <c r="C16">
        <v>2</v>
      </c>
      <c r="D16">
        <v>3</v>
      </c>
      <c r="E16">
        <v>4</v>
      </c>
      <c r="F16">
        <v>5</v>
      </c>
      <c r="G16">
        <v>6</v>
      </c>
      <c r="H16">
        <v>7</v>
      </c>
      <c r="I16">
        <v>8</v>
      </c>
      <c r="J16">
        <v>9</v>
      </c>
      <c r="K16">
        <v>10</v>
      </c>
      <c r="L16">
        <v>11</v>
      </c>
      <c r="M16">
        <v>12</v>
      </c>
      <c r="N16">
        <v>13</v>
      </c>
      <c r="O16">
        <v>14</v>
      </c>
      <c r="P16">
        <v>15</v>
      </c>
      <c r="Q16">
        <v>16</v>
      </c>
      <c r="R16">
        <v>17</v>
      </c>
      <c r="S16">
        <v>18</v>
      </c>
      <c r="T16">
        <v>19</v>
      </c>
      <c r="U16">
        <v>20</v>
      </c>
    </row>
    <row r="17" spans="1:7" x14ac:dyDescent="0.2">
      <c r="A17" t="s">
        <v>56</v>
      </c>
      <c r="B17">
        <v>1</v>
      </c>
      <c r="C17">
        <v>2</v>
      </c>
      <c r="D17">
        <v>3</v>
      </c>
      <c r="E17">
        <v>4</v>
      </c>
    </row>
    <row r="18" spans="1:7" x14ac:dyDescent="0.2">
      <c r="A18" t="s">
        <v>84</v>
      </c>
      <c r="B18" t="s">
        <v>85</v>
      </c>
      <c r="C18" t="s">
        <v>87</v>
      </c>
      <c r="D18" t="s">
        <v>89</v>
      </c>
      <c r="E18" t="s">
        <v>86</v>
      </c>
      <c r="F18" t="s">
        <v>88</v>
      </c>
      <c r="G18" t="s">
        <v>90</v>
      </c>
    </row>
    <row r="19" spans="1:7" x14ac:dyDescent="0.2">
      <c r="A19" t="s">
        <v>97</v>
      </c>
      <c r="B19" t="s">
        <v>98</v>
      </c>
      <c r="C19" t="s">
        <v>99</v>
      </c>
    </row>
    <row r="20" spans="1:7" x14ac:dyDescent="0.2">
      <c r="A20" t="s">
        <v>57</v>
      </c>
    </row>
    <row r="21" spans="1:7" x14ac:dyDescent="0.2">
      <c r="A21" t="s">
        <v>45</v>
      </c>
      <c r="B21" t="s">
        <v>46</v>
      </c>
    </row>
    <row r="22" spans="1:7" x14ac:dyDescent="0.2">
      <c r="A22">
        <v>0</v>
      </c>
      <c r="B22" t="s">
        <v>52</v>
      </c>
    </row>
    <row r="23" spans="1:7" x14ac:dyDescent="0.2">
      <c r="A23">
        <v>9</v>
      </c>
      <c r="B23" t="s">
        <v>53</v>
      </c>
    </row>
    <row r="24" spans="1:7" x14ac:dyDescent="0.2">
      <c r="A24">
        <v>10</v>
      </c>
      <c r="B24" t="s">
        <v>53</v>
      </c>
    </row>
    <row r="25" spans="1:7" x14ac:dyDescent="0.2">
      <c r="A25">
        <v>11</v>
      </c>
      <c r="B25" t="s">
        <v>54</v>
      </c>
    </row>
    <row r="26" spans="1:7" x14ac:dyDescent="0.2">
      <c r="A26">
        <v>12</v>
      </c>
      <c r="B26" t="s">
        <v>54</v>
      </c>
    </row>
    <row r="27" spans="1:7" x14ac:dyDescent="0.2">
      <c r="A27">
        <v>13</v>
      </c>
      <c r="B27" t="s">
        <v>55</v>
      </c>
    </row>
    <row r="28" spans="1:7" x14ac:dyDescent="0.2">
      <c r="A28">
        <v>14</v>
      </c>
      <c r="B28" t="s">
        <v>55</v>
      </c>
    </row>
    <row r="29" spans="1:7" x14ac:dyDescent="0.2">
      <c r="A29">
        <v>15</v>
      </c>
      <c r="B29" t="s">
        <v>58</v>
      </c>
    </row>
    <row r="31" spans="1:7" x14ac:dyDescent="0.2">
      <c r="A31" t="s">
        <v>59</v>
      </c>
    </row>
    <row r="33" spans="1:2" x14ac:dyDescent="0.2">
      <c r="A33">
        <v>0</v>
      </c>
      <c r="B33" t="s">
        <v>53</v>
      </c>
    </row>
    <row r="34" spans="1:2" x14ac:dyDescent="0.2">
      <c r="A34">
        <v>11</v>
      </c>
      <c r="B34" t="s">
        <v>54</v>
      </c>
    </row>
    <row r="35" spans="1:2" x14ac:dyDescent="0.2">
      <c r="A35">
        <v>12</v>
      </c>
      <c r="B35" t="s">
        <v>54</v>
      </c>
    </row>
    <row r="36" spans="1:2" x14ac:dyDescent="0.2">
      <c r="A36">
        <v>13</v>
      </c>
      <c r="B36" t="s">
        <v>55</v>
      </c>
    </row>
    <row r="37" spans="1:2" x14ac:dyDescent="0.2">
      <c r="A37">
        <v>14</v>
      </c>
      <c r="B37" t="s">
        <v>55</v>
      </c>
    </row>
    <row r="38" spans="1:2" x14ac:dyDescent="0.2">
      <c r="A38">
        <v>15</v>
      </c>
      <c r="B38" t="s">
        <v>60</v>
      </c>
    </row>
    <row r="39" spans="1:2" x14ac:dyDescent="0.2">
      <c r="A39">
        <v>16</v>
      </c>
      <c r="B39" t="s">
        <v>60</v>
      </c>
    </row>
    <row r="40" spans="1:2" x14ac:dyDescent="0.2">
      <c r="A40">
        <v>17</v>
      </c>
      <c r="B40" t="s">
        <v>61</v>
      </c>
    </row>
    <row r="41" spans="1:2" x14ac:dyDescent="0.2">
      <c r="A41">
        <v>18</v>
      </c>
      <c r="B41" t="s">
        <v>61</v>
      </c>
    </row>
    <row r="42" spans="1:2" x14ac:dyDescent="0.2">
      <c r="A42">
        <v>19</v>
      </c>
      <c r="B42" t="s">
        <v>62</v>
      </c>
    </row>
    <row r="43" spans="1:2" x14ac:dyDescent="0.2">
      <c r="A43">
        <v>20</v>
      </c>
      <c r="B43" t="s">
        <v>62</v>
      </c>
    </row>
    <row r="44" spans="1:2" x14ac:dyDescent="0.2">
      <c r="A44">
        <v>21</v>
      </c>
      <c r="B44" t="s">
        <v>63</v>
      </c>
    </row>
    <row r="45" spans="1:2" x14ac:dyDescent="0.2">
      <c r="A45">
        <v>22</v>
      </c>
      <c r="B45" t="s">
        <v>63</v>
      </c>
    </row>
    <row r="46" spans="1:2" x14ac:dyDescent="0.2">
      <c r="A46">
        <v>23</v>
      </c>
      <c r="B46" t="s">
        <v>64</v>
      </c>
    </row>
    <row r="47" spans="1:2" x14ac:dyDescent="0.2">
      <c r="A47">
        <v>24</v>
      </c>
      <c r="B47" t="s">
        <v>64</v>
      </c>
    </row>
    <row r="48" spans="1:2" x14ac:dyDescent="0.2">
      <c r="A48">
        <v>25</v>
      </c>
      <c r="B48" t="s">
        <v>65</v>
      </c>
    </row>
    <row r="50" spans="1:2" x14ac:dyDescent="0.2">
      <c r="A50" t="s">
        <v>105</v>
      </c>
    </row>
    <row r="51" spans="1:2" x14ac:dyDescent="0.2">
      <c r="A51">
        <v>0</v>
      </c>
      <c r="B51" t="s">
        <v>69</v>
      </c>
    </row>
    <row r="52" spans="1:2" x14ac:dyDescent="0.2">
      <c r="A52">
        <v>15</v>
      </c>
      <c r="B52" t="s">
        <v>70</v>
      </c>
    </row>
  </sheetData>
  <sheetProtection selectLockedCells="1"/>
  <sortState xmlns:xlrd2="http://schemas.microsoft.com/office/spreadsheetml/2017/richdata2" ref="A22:B29">
    <sortCondition ref="A22:A29"/>
  </sortState>
  <mergeCells count="1">
    <mergeCell ref="A4:B4"/>
  </mergeCells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1B7F7-6A9A-46AC-8532-10B99C35BBD9}">
  <dimension ref="A1:AZ38"/>
  <sheetViews>
    <sheetView zoomScale="80" zoomScaleNormal="80" workbookViewId="0">
      <selection activeCell="E9" sqref="E9"/>
    </sheetView>
  </sheetViews>
  <sheetFormatPr baseColWidth="10" defaultColWidth="0" defaultRowHeight="15" zeroHeight="1" x14ac:dyDescent="0.2"/>
  <cols>
    <col min="1" max="1" width="10.83203125" style="30" customWidth="1"/>
    <col min="2" max="4" width="18.5" customWidth="1"/>
    <col min="5" max="36" width="6.5" customWidth="1"/>
    <col min="37" max="37" width="11.33203125" hidden="1" customWidth="1"/>
    <col min="38" max="16384" width="10.83203125" hidden="1"/>
  </cols>
  <sheetData>
    <row r="1" spans="1:52" x14ac:dyDescent="0.2">
      <c r="A1" s="96" t="str">
        <f>Einstellungen!B5</f>
        <v>Württembergische Meisterschaft und Edelweiß Cup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52" x14ac:dyDescent="0.2">
      <c r="A2" s="96"/>
      <c r="B2" s="96"/>
      <c r="C2" s="96"/>
      <c r="D2" s="96"/>
      <c r="E2" s="96"/>
      <c r="F2" s="96"/>
      <c r="G2" s="96"/>
      <c r="H2" s="96"/>
      <c r="I2" s="96"/>
      <c r="J2" s="96"/>
      <c r="K2" s="96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spans="1:52" x14ac:dyDescent="0.2">
      <c r="A3" s="80">
        <f>Einstellungen!B6</f>
        <v>46151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52" x14ac:dyDescent="0.2">
      <c r="A4" s="81"/>
      <c r="B4" s="81"/>
      <c r="C4" s="81"/>
      <c r="D4" s="81"/>
      <c r="E4" s="81"/>
      <c r="F4" s="81"/>
      <c r="G4" s="81"/>
      <c r="H4" s="81"/>
      <c r="I4" s="81"/>
      <c r="J4" s="81"/>
      <c r="K4" s="81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</row>
    <row r="5" spans="1:52" ht="19" x14ac:dyDescent="0.2">
      <c r="A5" s="84" t="s">
        <v>0</v>
      </c>
      <c r="B5" s="84"/>
      <c r="C5" s="2">
        <f>'Allgemeine Informationen'!C6</f>
        <v>0</v>
      </c>
      <c r="D5" s="2"/>
      <c r="E5" s="2"/>
      <c r="F5" s="91" t="s">
        <v>84</v>
      </c>
      <c r="G5" s="91"/>
      <c r="H5" s="91"/>
      <c r="I5" s="91"/>
      <c r="J5" s="91"/>
      <c r="K5" s="91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spans="1:52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</row>
    <row r="7" spans="1:52" x14ac:dyDescent="0.2">
      <c r="A7" s="18"/>
      <c r="B7" s="18"/>
      <c r="C7" s="18"/>
      <c r="D7" s="19"/>
      <c r="E7" s="88" t="s">
        <v>113</v>
      </c>
      <c r="F7" s="97"/>
      <c r="G7" s="97"/>
      <c r="H7" s="97"/>
      <c r="I7" s="97"/>
      <c r="J7" s="97"/>
      <c r="K7" s="97"/>
      <c r="L7" s="97"/>
      <c r="M7" s="97"/>
      <c r="N7" s="97"/>
      <c r="O7" s="87" t="s">
        <v>114</v>
      </c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8"/>
    </row>
    <row r="8" spans="1:52" x14ac:dyDescent="0.2">
      <c r="A8" s="64" t="s">
        <v>91</v>
      </c>
      <c r="B8" s="64" t="s">
        <v>18</v>
      </c>
      <c r="C8" s="64" t="s">
        <v>43</v>
      </c>
      <c r="D8" s="64" t="s">
        <v>21</v>
      </c>
      <c r="E8" s="59" t="s">
        <v>78</v>
      </c>
      <c r="F8" s="59" t="s">
        <v>38</v>
      </c>
      <c r="G8" s="59" t="s">
        <v>77</v>
      </c>
      <c r="H8" s="59" t="s">
        <v>39</v>
      </c>
      <c r="I8" s="59" t="s">
        <v>92</v>
      </c>
      <c r="J8" s="59" t="s">
        <v>79</v>
      </c>
      <c r="K8" s="59" t="s">
        <v>40</v>
      </c>
      <c r="L8" s="59" t="s">
        <v>41</v>
      </c>
      <c r="M8" s="59" t="s">
        <v>42</v>
      </c>
      <c r="N8" s="63" t="s">
        <v>93</v>
      </c>
      <c r="O8" s="59" t="s">
        <v>38</v>
      </c>
      <c r="P8" s="59" t="s">
        <v>77</v>
      </c>
      <c r="Q8" s="59" t="s">
        <v>39</v>
      </c>
      <c r="R8" s="59" t="s">
        <v>71</v>
      </c>
      <c r="S8" s="59" t="s">
        <v>72</v>
      </c>
      <c r="T8" s="59" t="s">
        <v>73</v>
      </c>
      <c r="U8" s="65" t="s">
        <v>74</v>
      </c>
      <c r="V8" s="59" t="s">
        <v>75</v>
      </c>
      <c r="W8" s="59" t="s">
        <v>76</v>
      </c>
      <c r="X8" s="59" t="s">
        <v>40</v>
      </c>
      <c r="Y8" s="59" t="s">
        <v>41</v>
      </c>
      <c r="Z8" s="59" t="s">
        <v>42</v>
      </c>
      <c r="AA8" s="59" t="s">
        <v>121</v>
      </c>
      <c r="AB8" s="59" t="s">
        <v>80</v>
      </c>
      <c r="AC8" s="59" t="s">
        <v>81</v>
      </c>
      <c r="AD8" s="59" t="s">
        <v>82</v>
      </c>
      <c r="AE8" s="59" t="s">
        <v>83</v>
      </c>
      <c r="AF8" s="59" t="s">
        <v>120</v>
      </c>
      <c r="AG8" s="59" t="s">
        <v>119</v>
      </c>
      <c r="AH8" s="75" t="s">
        <v>118</v>
      </c>
      <c r="AI8" s="59" t="s">
        <v>94</v>
      </c>
      <c r="AJ8" s="74" t="s">
        <v>95</v>
      </c>
    </row>
    <row r="9" spans="1:52" x14ac:dyDescent="0.2">
      <c r="A9" s="9">
        <v>1</v>
      </c>
      <c r="B9" s="8" t="str" cm="1">
        <f t="array" ref="B9">_xlfn._xlws.FILTER(Meldeformular_Namen,Meldeformular!M11:M60="ja","")</f>
        <v/>
      </c>
      <c r="C9" s="8"/>
      <c r="D9" s="8" t="str" cm="1">
        <f t="array" ref="D9">_xlfn._xlws.FILTER(Meldeformular!F11:F60,Meldeformular!M11:M60="ja","")</f>
        <v/>
      </c>
      <c r="E9" s="20"/>
      <c r="F9" s="20"/>
      <c r="G9" s="20"/>
      <c r="H9" s="20"/>
      <c r="I9" s="20"/>
      <c r="J9" s="20"/>
      <c r="K9" s="20"/>
      <c r="L9" s="20"/>
      <c r="M9" s="20"/>
      <c r="N9" s="28"/>
      <c r="O9" s="20"/>
      <c r="P9" s="20"/>
      <c r="Q9" s="20"/>
      <c r="R9" s="20"/>
      <c r="S9" s="20"/>
      <c r="T9" s="20"/>
      <c r="U9" s="68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</row>
    <row r="10" spans="1:52" x14ac:dyDescent="0.2">
      <c r="A10" s="9">
        <v>2</v>
      </c>
      <c r="B10" s="8"/>
      <c r="C10" s="8"/>
      <c r="D10" s="8"/>
      <c r="E10" s="22"/>
      <c r="F10" s="22"/>
      <c r="G10" s="22"/>
      <c r="H10" s="22"/>
      <c r="I10" s="22"/>
      <c r="J10" s="22"/>
      <c r="K10" s="22"/>
      <c r="L10" s="22"/>
      <c r="M10" s="22"/>
      <c r="N10" s="27"/>
      <c r="O10" s="22"/>
      <c r="P10" s="22"/>
      <c r="Q10" s="22"/>
      <c r="R10" s="22"/>
      <c r="S10" s="22"/>
      <c r="T10" s="22"/>
      <c r="U10" s="69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</row>
    <row r="11" spans="1:52" x14ac:dyDescent="0.2">
      <c r="A11" s="9">
        <v>3</v>
      </c>
      <c r="B11" s="8"/>
      <c r="C11" s="8"/>
      <c r="D11" s="8"/>
      <c r="E11" s="20"/>
      <c r="F11" s="20"/>
      <c r="G11" s="20"/>
      <c r="H11" s="20"/>
      <c r="I11" s="20"/>
      <c r="J11" s="20"/>
      <c r="K11" s="20"/>
      <c r="L11" s="20"/>
      <c r="M11" s="20"/>
      <c r="N11" s="28"/>
      <c r="O11" s="20"/>
      <c r="P11" s="20"/>
      <c r="Q11" s="20"/>
      <c r="R11" s="20"/>
      <c r="S11" s="20"/>
      <c r="T11" s="20"/>
      <c r="U11" s="68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</row>
    <row r="12" spans="1:52" x14ac:dyDescent="0.2">
      <c r="A12" s="9">
        <v>4</v>
      </c>
      <c r="B12" s="8"/>
      <c r="C12" s="8"/>
      <c r="D12" s="8"/>
      <c r="E12" s="22"/>
      <c r="F12" s="22"/>
      <c r="G12" s="22"/>
      <c r="H12" s="22"/>
      <c r="I12" s="22"/>
      <c r="J12" s="22"/>
      <c r="K12" s="22"/>
      <c r="L12" s="22"/>
      <c r="M12" s="22"/>
      <c r="N12" s="27"/>
      <c r="O12" s="22"/>
      <c r="P12" s="22"/>
      <c r="Q12" s="22"/>
      <c r="R12" s="22"/>
      <c r="S12" s="22"/>
      <c r="T12" s="22"/>
      <c r="U12" s="69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</row>
    <row r="13" spans="1:52" x14ac:dyDescent="0.2">
      <c r="A13" s="9">
        <v>5</v>
      </c>
      <c r="B13" s="8"/>
      <c r="C13" s="8"/>
      <c r="D13" s="8"/>
      <c r="E13" s="20"/>
      <c r="F13" s="20"/>
      <c r="G13" s="20"/>
      <c r="H13" s="20"/>
      <c r="I13" s="20"/>
      <c r="J13" s="20"/>
      <c r="K13" s="20"/>
      <c r="L13" s="20"/>
      <c r="M13" s="20"/>
      <c r="N13" s="28"/>
      <c r="O13" s="20"/>
      <c r="P13" s="20"/>
      <c r="Q13" s="20"/>
      <c r="R13" s="20"/>
      <c r="S13" s="20"/>
      <c r="T13" s="20"/>
      <c r="U13" s="68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</row>
    <row r="14" spans="1:52" x14ac:dyDescent="0.2">
      <c r="A14" s="9">
        <v>6</v>
      </c>
      <c r="B14" s="8"/>
      <c r="C14" s="8"/>
      <c r="D14" s="8"/>
      <c r="E14" s="22"/>
      <c r="F14" s="22"/>
      <c r="G14" s="22"/>
      <c r="H14" s="22"/>
      <c r="I14" s="22"/>
      <c r="J14" s="22"/>
      <c r="K14" s="22"/>
      <c r="L14" s="22"/>
      <c r="M14" s="22"/>
      <c r="N14" s="27"/>
      <c r="O14" s="22"/>
      <c r="P14" s="22"/>
      <c r="Q14" s="22"/>
      <c r="R14" s="22"/>
      <c r="S14" s="22"/>
      <c r="T14" s="22"/>
      <c r="U14" s="69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</row>
    <row r="15" spans="1:52" x14ac:dyDescent="0.2">
      <c r="A15" s="9">
        <v>7</v>
      </c>
      <c r="B15" s="8"/>
      <c r="C15" s="8"/>
      <c r="D15" s="8"/>
      <c r="E15" s="20"/>
      <c r="F15" s="20"/>
      <c r="G15" s="20"/>
      <c r="H15" s="20"/>
      <c r="I15" s="20"/>
      <c r="J15" s="20"/>
      <c r="K15" s="20"/>
      <c r="L15" s="20"/>
      <c r="M15" s="20"/>
      <c r="N15" s="28"/>
      <c r="O15" s="20"/>
      <c r="P15" s="20"/>
      <c r="Q15" s="20"/>
      <c r="R15" s="20"/>
      <c r="S15" s="20"/>
      <c r="T15" s="20"/>
      <c r="U15" s="68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</row>
    <row r="16" spans="1:52" x14ac:dyDescent="0.2">
      <c r="A16" s="9">
        <v>8</v>
      </c>
      <c r="B16" s="8"/>
      <c r="C16" s="8"/>
      <c r="D16" s="8"/>
      <c r="E16" s="22"/>
      <c r="F16" s="22"/>
      <c r="G16" s="22"/>
      <c r="H16" s="22"/>
      <c r="I16" s="22"/>
      <c r="J16" s="22"/>
      <c r="K16" s="22"/>
      <c r="L16" s="22"/>
      <c r="M16" s="22"/>
      <c r="N16" s="27"/>
      <c r="O16" s="22"/>
      <c r="P16" s="22"/>
      <c r="Q16" s="22"/>
      <c r="R16" s="22"/>
      <c r="S16" s="22"/>
      <c r="T16" s="22"/>
      <c r="U16" s="69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</row>
    <row r="17" spans="1:36" x14ac:dyDescent="0.2">
      <c r="A17" s="9">
        <v>9</v>
      </c>
      <c r="B17" s="8"/>
      <c r="C17" s="8"/>
      <c r="D17" s="8"/>
      <c r="E17" s="20"/>
      <c r="F17" s="20"/>
      <c r="G17" s="20"/>
      <c r="H17" s="20"/>
      <c r="I17" s="20"/>
      <c r="J17" s="20"/>
      <c r="K17" s="20"/>
      <c r="L17" s="20"/>
      <c r="M17" s="20"/>
      <c r="N17" s="28"/>
      <c r="O17" s="20"/>
      <c r="P17" s="20"/>
      <c r="Q17" s="20"/>
      <c r="R17" s="20"/>
      <c r="S17" s="20"/>
      <c r="T17" s="20"/>
      <c r="U17" s="68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</row>
    <row r="18" spans="1:36" x14ac:dyDescent="0.2">
      <c r="A18" s="9">
        <v>10</v>
      </c>
      <c r="B18" s="8"/>
      <c r="C18" s="8"/>
      <c r="D18" s="8"/>
      <c r="E18" s="22"/>
      <c r="F18" s="22"/>
      <c r="G18" s="22"/>
      <c r="H18" s="22"/>
      <c r="I18" s="22"/>
      <c r="J18" s="22"/>
      <c r="K18" s="22"/>
      <c r="L18" s="22"/>
      <c r="M18" s="22"/>
      <c r="N18" s="27"/>
      <c r="O18" s="22"/>
      <c r="P18" s="22"/>
      <c r="Q18" s="22"/>
      <c r="R18" s="22"/>
      <c r="S18" s="22"/>
      <c r="T18" s="22"/>
      <c r="U18" s="69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</row>
    <row r="19" spans="1:36" x14ac:dyDescent="0.2">
      <c r="A19" s="9">
        <v>11</v>
      </c>
      <c r="B19" s="8"/>
      <c r="C19" s="8"/>
      <c r="D19" s="8"/>
      <c r="E19" s="20"/>
      <c r="F19" s="20"/>
      <c r="G19" s="20"/>
      <c r="H19" s="20"/>
      <c r="I19" s="20"/>
      <c r="J19" s="20"/>
      <c r="K19" s="20"/>
      <c r="L19" s="20"/>
      <c r="M19" s="20"/>
      <c r="N19" s="28"/>
      <c r="O19" s="20"/>
      <c r="P19" s="20"/>
      <c r="Q19" s="20"/>
      <c r="R19" s="20"/>
      <c r="S19" s="20"/>
      <c r="T19" s="20"/>
      <c r="U19" s="68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</row>
    <row r="20" spans="1:36" x14ac:dyDescent="0.2">
      <c r="A20" s="9">
        <v>12</v>
      </c>
      <c r="B20" s="8"/>
      <c r="C20" s="8"/>
      <c r="D20" s="8"/>
      <c r="E20" s="22"/>
      <c r="F20" s="22"/>
      <c r="G20" s="22"/>
      <c r="H20" s="22"/>
      <c r="I20" s="22"/>
      <c r="J20" s="22"/>
      <c r="K20" s="22"/>
      <c r="L20" s="22"/>
      <c r="M20" s="22"/>
      <c r="N20" s="27"/>
      <c r="O20" s="22"/>
      <c r="P20" s="22"/>
      <c r="Q20" s="22"/>
      <c r="R20" s="22"/>
      <c r="S20" s="22"/>
      <c r="T20" s="22"/>
      <c r="U20" s="69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</row>
    <row r="21" spans="1:36" x14ac:dyDescent="0.2">
      <c r="A21" s="9">
        <v>13</v>
      </c>
      <c r="B21" s="8"/>
      <c r="C21" s="8"/>
      <c r="D21" s="8"/>
      <c r="E21" s="20"/>
      <c r="F21" s="20"/>
      <c r="G21" s="20"/>
      <c r="H21" s="20"/>
      <c r="I21" s="20"/>
      <c r="J21" s="20"/>
      <c r="K21" s="20"/>
      <c r="L21" s="20"/>
      <c r="M21" s="20"/>
      <c r="N21" s="28"/>
      <c r="O21" s="20"/>
      <c r="P21" s="20"/>
      <c r="Q21" s="20"/>
      <c r="R21" s="20"/>
      <c r="S21" s="20"/>
      <c r="T21" s="20"/>
      <c r="U21" s="68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</row>
    <row r="22" spans="1:36" x14ac:dyDescent="0.2">
      <c r="A22" s="9">
        <v>14</v>
      </c>
      <c r="B22" s="8"/>
      <c r="C22" s="8"/>
      <c r="D22" s="8"/>
      <c r="E22" s="22"/>
      <c r="F22" s="22"/>
      <c r="G22" s="22"/>
      <c r="H22" s="22"/>
      <c r="I22" s="22"/>
      <c r="J22" s="22"/>
      <c r="K22" s="22"/>
      <c r="L22" s="22"/>
      <c r="M22" s="22"/>
      <c r="N22" s="27"/>
      <c r="O22" s="22"/>
      <c r="P22" s="22"/>
      <c r="Q22" s="22"/>
      <c r="R22" s="22"/>
      <c r="S22" s="22"/>
      <c r="T22" s="22"/>
      <c r="U22" s="69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</row>
    <row r="23" spans="1:36" x14ac:dyDescent="0.2">
      <c r="A23" s="9">
        <v>15</v>
      </c>
      <c r="B23" s="8"/>
      <c r="C23" s="8"/>
      <c r="D23" s="8"/>
      <c r="E23" s="20"/>
      <c r="F23" s="20"/>
      <c r="G23" s="20"/>
      <c r="H23" s="20"/>
      <c r="I23" s="20"/>
      <c r="J23" s="20"/>
      <c r="K23" s="20"/>
      <c r="L23" s="20"/>
      <c r="M23" s="20"/>
      <c r="N23" s="28"/>
      <c r="O23" s="20"/>
      <c r="P23" s="20"/>
      <c r="Q23" s="20"/>
      <c r="R23" s="20"/>
      <c r="S23" s="20"/>
      <c r="T23" s="20"/>
      <c r="U23" s="68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</row>
    <row r="24" spans="1:36" x14ac:dyDescent="0.2">
      <c r="A24" s="9">
        <v>16</v>
      </c>
      <c r="B24" s="8"/>
      <c r="C24" s="8"/>
      <c r="D24" s="8"/>
      <c r="E24" s="22"/>
      <c r="F24" s="22"/>
      <c r="G24" s="22"/>
      <c r="H24" s="22"/>
      <c r="I24" s="22"/>
      <c r="J24" s="22"/>
      <c r="K24" s="22"/>
      <c r="L24" s="22"/>
      <c r="M24" s="22"/>
      <c r="N24" s="27"/>
      <c r="O24" s="22"/>
      <c r="P24" s="22"/>
      <c r="Q24" s="22"/>
      <c r="R24" s="22"/>
      <c r="S24" s="22"/>
      <c r="T24" s="22"/>
      <c r="U24" s="69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</row>
    <row r="25" spans="1:36" x14ac:dyDescent="0.2">
      <c r="A25" s="9">
        <v>17</v>
      </c>
      <c r="B25" s="8"/>
      <c r="C25" s="8"/>
      <c r="D25" s="8"/>
      <c r="E25" s="20"/>
      <c r="F25" s="20"/>
      <c r="G25" s="20"/>
      <c r="H25" s="20"/>
      <c r="I25" s="20"/>
      <c r="J25" s="20"/>
      <c r="K25" s="20"/>
      <c r="L25" s="20"/>
      <c r="M25" s="20"/>
      <c r="N25" s="28"/>
      <c r="O25" s="20"/>
      <c r="P25" s="20"/>
      <c r="Q25" s="20"/>
      <c r="R25" s="20"/>
      <c r="S25" s="20"/>
      <c r="T25" s="20"/>
      <c r="U25" s="68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</row>
    <row r="26" spans="1:36" x14ac:dyDescent="0.2">
      <c r="A26" s="9">
        <v>18</v>
      </c>
      <c r="B26" s="8"/>
      <c r="C26" s="8"/>
      <c r="D26" s="8"/>
      <c r="E26" s="22"/>
      <c r="F26" s="22"/>
      <c r="G26" s="22"/>
      <c r="H26" s="22"/>
      <c r="I26" s="22"/>
      <c r="J26" s="22"/>
      <c r="K26" s="22"/>
      <c r="L26" s="22"/>
      <c r="M26" s="22"/>
      <c r="N26" s="27"/>
      <c r="O26" s="22"/>
      <c r="P26" s="22"/>
      <c r="Q26" s="22"/>
      <c r="R26" s="22"/>
      <c r="S26" s="22"/>
      <c r="T26" s="22"/>
      <c r="U26" s="69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</row>
    <row r="27" spans="1:36" x14ac:dyDescent="0.2">
      <c r="A27" s="9">
        <v>19</v>
      </c>
      <c r="B27" s="8"/>
      <c r="C27" s="8"/>
      <c r="D27" s="8"/>
      <c r="E27" s="20"/>
      <c r="F27" s="20"/>
      <c r="G27" s="20"/>
      <c r="H27" s="20"/>
      <c r="I27" s="20"/>
      <c r="J27" s="20"/>
      <c r="K27" s="20"/>
      <c r="L27" s="20"/>
      <c r="M27" s="20"/>
      <c r="N27" s="28"/>
      <c r="O27" s="20"/>
      <c r="P27" s="20"/>
      <c r="Q27" s="20"/>
      <c r="R27" s="20"/>
      <c r="S27" s="20"/>
      <c r="T27" s="20"/>
      <c r="U27" s="68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</row>
    <row r="28" spans="1:36" x14ac:dyDescent="0.2">
      <c r="A28" s="9">
        <v>20</v>
      </c>
      <c r="B28" s="8"/>
      <c r="C28" s="8"/>
      <c r="D28" s="8"/>
      <c r="E28" s="22"/>
      <c r="F28" s="22"/>
      <c r="G28" s="22"/>
      <c r="H28" s="22"/>
      <c r="I28" s="22"/>
      <c r="J28" s="22"/>
      <c r="K28" s="22"/>
      <c r="L28" s="22"/>
      <c r="M28" s="22"/>
      <c r="N28" s="27"/>
      <c r="O28" s="22"/>
      <c r="P28" s="22"/>
      <c r="Q28" s="22"/>
      <c r="R28" s="22"/>
      <c r="S28" s="22"/>
      <c r="T28" s="22"/>
      <c r="U28" s="69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</row>
    <row r="29" spans="1:36" x14ac:dyDescent="0.2">
      <c r="A29" s="9">
        <v>21</v>
      </c>
      <c r="B29" s="8"/>
      <c r="C29" s="8"/>
      <c r="D29" s="8"/>
      <c r="E29" s="20"/>
      <c r="F29" s="20"/>
      <c r="G29" s="20"/>
      <c r="H29" s="20"/>
      <c r="I29" s="20"/>
      <c r="J29" s="20"/>
      <c r="K29" s="20"/>
      <c r="L29" s="20"/>
      <c r="M29" s="20"/>
      <c r="N29" s="28"/>
      <c r="O29" s="20"/>
      <c r="P29" s="20"/>
      <c r="Q29" s="20"/>
      <c r="R29" s="20"/>
      <c r="S29" s="20"/>
      <c r="T29" s="20"/>
      <c r="U29" s="68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</row>
    <row r="30" spans="1:36" x14ac:dyDescent="0.2">
      <c r="A30" s="9">
        <v>22</v>
      </c>
      <c r="B30" s="8"/>
      <c r="C30" s="8"/>
      <c r="D30" s="8"/>
      <c r="E30" s="22"/>
      <c r="F30" s="22"/>
      <c r="G30" s="22"/>
      <c r="H30" s="22"/>
      <c r="I30" s="22"/>
      <c r="J30" s="22"/>
      <c r="K30" s="22"/>
      <c r="L30" s="22"/>
      <c r="M30" s="22"/>
      <c r="N30" s="27"/>
      <c r="O30" s="22"/>
      <c r="P30" s="22"/>
      <c r="Q30" s="22"/>
      <c r="R30" s="22"/>
      <c r="S30" s="22"/>
      <c r="T30" s="22"/>
      <c r="U30" s="69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</row>
    <row r="31" spans="1:36" x14ac:dyDescent="0.2">
      <c r="A31" s="9">
        <v>23</v>
      </c>
      <c r="B31" s="8"/>
      <c r="C31" s="8"/>
      <c r="D31" s="8"/>
      <c r="E31" s="20"/>
      <c r="F31" s="20"/>
      <c r="G31" s="20"/>
      <c r="H31" s="20"/>
      <c r="I31" s="20"/>
      <c r="J31" s="20"/>
      <c r="K31" s="20"/>
      <c r="L31" s="20"/>
      <c r="M31" s="20"/>
      <c r="N31" s="28"/>
      <c r="O31" s="20"/>
      <c r="P31" s="20"/>
      <c r="Q31" s="20"/>
      <c r="R31" s="20"/>
      <c r="S31" s="20"/>
      <c r="T31" s="20"/>
      <c r="U31" s="68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</row>
    <row r="32" spans="1:36" x14ac:dyDescent="0.2">
      <c r="A32" s="9">
        <v>24</v>
      </c>
      <c r="B32" s="8"/>
      <c r="C32" s="8"/>
      <c r="D32" s="8"/>
      <c r="E32" s="22"/>
      <c r="F32" s="22"/>
      <c r="G32" s="22"/>
      <c r="H32" s="22"/>
      <c r="I32" s="22"/>
      <c r="J32" s="22"/>
      <c r="K32" s="22"/>
      <c r="L32" s="22"/>
      <c r="M32" s="22"/>
      <c r="N32" s="27"/>
      <c r="O32" s="22"/>
      <c r="P32" s="22"/>
      <c r="Q32" s="22"/>
      <c r="R32" s="22"/>
      <c r="S32" s="22"/>
      <c r="T32" s="22"/>
      <c r="U32" s="69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</row>
    <row r="33" spans="1:36" x14ac:dyDescent="0.2">
      <c r="A33" s="9">
        <v>25</v>
      </c>
      <c r="B33" s="8"/>
      <c r="C33" s="8"/>
      <c r="D33" s="8"/>
      <c r="E33" s="20"/>
      <c r="F33" s="20"/>
      <c r="G33" s="20"/>
      <c r="H33" s="20"/>
      <c r="I33" s="20"/>
      <c r="J33" s="20"/>
      <c r="K33" s="20"/>
      <c r="L33" s="20"/>
      <c r="M33" s="20"/>
      <c r="N33" s="28"/>
      <c r="O33" s="20"/>
      <c r="P33" s="20"/>
      <c r="Q33" s="20"/>
      <c r="R33" s="20"/>
      <c r="S33" s="20"/>
      <c r="T33" s="20"/>
      <c r="U33" s="68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</row>
    <row r="34" spans="1:36" x14ac:dyDescent="0.2">
      <c r="A34" s="9">
        <v>26</v>
      </c>
      <c r="B34" s="8"/>
      <c r="C34" s="8"/>
      <c r="D34" s="8"/>
      <c r="E34" s="22"/>
      <c r="F34" s="22"/>
      <c r="G34" s="22"/>
      <c r="H34" s="22"/>
      <c r="I34" s="22"/>
      <c r="J34" s="22"/>
      <c r="K34" s="22"/>
      <c r="L34" s="22"/>
      <c r="M34" s="22"/>
      <c r="N34" s="27"/>
      <c r="O34" s="22"/>
      <c r="P34" s="22"/>
      <c r="Q34" s="22"/>
      <c r="R34" s="22"/>
      <c r="S34" s="22"/>
      <c r="T34" s="22"/>
      <c r="U34" s="69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</row>
    <row r="35" spans="1:36" x14ac:dyDescent="0.2">
      <c r="A35" s="9">
        <v>27</v>
      </c>
      <c r="B35" s="8"/>
      <c r="C35" s="8"/>
      <c r="D35" s="8"/>
      <c r="E35" s="20"/>
      <c r="F35" s="20"/>
      <c r="G35" s="20"/>
      <c r="H35" s="20"/>
      <c r="I35" s="20"/>
      <c r="J35" s="20"/>
      <c r="K35" s="20"/>
      <c r="L35" s="20"/>
      <c r="M35" s="20"/>
      <c r="N35" s="28"/>
      <c r="O35" s="20"/>
      <c r="P35" s="20"/>
      <c r="Q35" s="20"/>
      <c r="R35" s="20"/>
      <c r="S35" s="20"/>
      <c r="T35" s="20"/>
      <c r="U35" s="68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</row>
    <row r="36" spans="1:36" x14ac:dyDescent="0.2">
      <c r="A36" s="9">
        <v>28</v>
      </c>
      <c r="B36" s="8"/>
      <c r="C36" s="8"/>
      <c r="D36" s="8"/>
      <c r="E36" s="22"/>
      <c r="F36" s="22"/>
      <c r="G36" s="22"/>
      <c r="H36" s="22"/>
      <c r="I36" s="22"/>
      <c r="J36" s="22"/>
      <c r="K36" s="22"/>
      <c r="L36" s="22"/>
      <c r="M36" s="22"/>
      <c r="N36" s="27"/>
      <c r="O36" s="22"/>
      <c r="P36" s="22"/>
      <c r="Q36" s="22"/>
      <c r="R36" s="22"/>
      <c r="S36" s="22"/>
      <c r="T36" s="22"/>
      <c r="U36" s="69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</row>
    <row r="37" spans="1:36" x14ac:dyDescent="0.2">
      <c r="A37" s="9">
        <v>29</v>
      </c>
      <c r="B37" s="8"/>
      <c r="C37" s="8"/>
      <c r="D37" s="8"/>
      <c r="E37" s="20"/>
      <c r="F37" s="20"/>
      <c r="G37" s="20"/>
      <c r="H37" s="20"/>
      <c r="I37" s="20"/>
      <c r="J37" s="20"/>
      <c r="K37" s="20"/>
      <c r="L37" s="20"/>
      <c r="M37" s="20"/>
      <c r="N37" s="28"/>
      <c r="O37" s="20"/>
      <c r="P37" s="20"/>
      <c r="Q37" s="20"/>
      <c r="R37" s="20"/>
      <c r="S37" s="20"/>
      <c r="T37" s="20"/>
      <c r="U37" s="68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</row>
    <row r="38" spans="1:36" x14ac:dyDescent="0.2">
      <c r="A38" s="12">
        <v>30</v>
      </c>
      <c r="B38" s="42"/>
      <c r="C38" s="42"/>
      <c r="D38" s="42"/>
      <c r="E38" s="32"/>
      <c r="F38" s="32"/>
      <c r="G38" s="32"/>
      <c r="H38" s="32"/>
      <c r="I38" s="32"/>
      <c r="J38" s="32"/>
      <c r="K38" s="32"/>
      <c r="L38" s="32"/>
      <c r="M38" s="32"/>
      <c r="N38" s="33"/>
      <c r="O38" s="22"/>
      <c r="P38" s="22"/>
      <c r="Q38" s="22"/>
      <c r="R38" s="22"/>
      <c r="S38" s="22"/>
      <c r="T38" s="22"/>
      <c r="U38" s="70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</row>
  </sheetData>
  <sheetProtection algorithmName="SHA-512" hashValue="gGTFnsmruKVWdad2YG9q1Dz9/LRI0q1rXKM65v5XFMVVRRvIeEB49LCdct2YQYi24qw9IKx0pKAQEpXKWRiMpg==" saltValue="7Ed5owFctucOfoRP6I/1kA==" spinCount="100000" sheet="1" selectLockedCells="1"/>
  <mergeCells count="6">
    <mergeCell ref="O7:AZ7"/>
    <mergeCell ref="A1:K2"/>
    <mergeCell ref="A3:K4"/>
    <mergeCell ref="F5:K5"/>
    <mergeCell ref="A5:B5"/>
    <mergeCell ref="E7:N7"/>
  </mergeCells>
  <dataValidations count="1">
    <dataValidation type="list" allowBlank="1" showInputMessage="1" showErrorMessage="1" sqref="E9:AJ38" xr:uid="{C42218D9-AF06-471B-9149-DE6A1D00CCE2}">
      <formula1>Jury_Dropdown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B92CA-D780-4216-8A89-8299A746FCFB}">
  <dimension ref="A1:XFC14"/>
  <sheetViews>
    <sheetView zoomScale="150" zoomScaleNormal="150" workbookViewId="0">
      <selection activeCell="B7" sqref="B7"/>
    </sheetView>
  </sheetViews>
  <sheetFormatPr baseColWidth="10" defaultColWidth="0" defaultRowHeight="15" zeroHeight="1" x14ac:dyDescent="0.2"/>
  <cols>
    <col min="1" max="1" width="31.5" customWidth="1"/>
    <col min="2" max="2" width="22.5" customWidth="1"/>
    <col min="3" max="3" width="10.83203125" customWidth="1"/>
    <col min="4" max="4" width="12.6640625" customWidth="1"/>
    <col min="5" max="16383" width="10.83203125" hidden="1"/>
    <col min="16384" max="16384" width="1.33203125" hidden="1" customWidth="1"/>
  </cols>
  <sheetData>
    <row r="1" spans="1:4" ht="27" customHeight="1" x14ac:dyDescent="0.2">
      <c r="A1" s="5" t="str">
        <f>Einstellungen!B5</f>
        <v>Württembergische Meisterschaft und Edelweiß Cup</v>
      </c>
      <c r="B1" s="5"/>
      <c r="C1" s="5"/>
      <c r="D1" s="2"/>
    </row>
    <row r="2" spans="1:4" ht="6" customHeight="1" x14ac:dyDescent="0.2">
      <c r="A2" s="5"/>
      <c r="B2" s="5"/>
      <c r="C2" s="5"/>
      <c r="D2" s="2"/>
    </row>
    <row r="3" spans="1:4" x14ac:dyDescent="0.2">
      <c r="A3" s="71">
        <f>Einstellungen!B6</f>
        <v>46151</v>
      </c>
      <c r="B3" s="6"/>
      <c r="C3" s="6"/>
      <c r="D3" s="2"/>
    </row>
    <row r="4" spans="1:4" x14ac:dyDescent="0.2">
      <c r="A4" s="6"/>
      <c r="B4" s="6"/>
      <c r="C4" s="6"/>
      <c r="D4" s="2"/>
    </row>
    <row r="5" spans="1:4" ht="19" x14ac:dyDescent="0.2">
      <c r="A5" s="52" t="s">
        <v>0</v>
      </c>
      <c r="B5" s="2">
        <f>'Allgemeine Informationen'!C6</f>
        <v>0</v>
      </c>
      <c r="C5" s="29" t="s">
        <v>96</v>
      </c>
      <c r="D5" s="2"/>
    </row>
    <row r="6" spans="1:4" x14ac:dyDescent="0.2">
      <c r="A6" s="52"/>
      <c r="B6" s="2"/>
      <c r="C6" s="2"/>
      <c r="D6" s="2"/>
    </row>
    <row r="7" spans="1:4" x14ac:dyDescent="0.2">
      <c r="A7" s="52" t="s">
        <v>35</v>
      </c>
      <c r="B7" s="53">
        <f>SUM(Meldeformular!N11:N60)</f>
        <v>0</v>
      </c>
      <c r="C7" s="2"/>
      <c r="D7" s="2"/>
    </row>
    <row r="8" spans="1:4" x14ac:dyDescent="0.2">
      <c r="A8" s="52"/>
      <c r="B8" s="2"/>
      <c r="C8" s="2"/>
      <c r="D8" s="2"/>
    </row>
    <row r="9" spans="1:4" x14ac:dyDescent="0.2">
      <c r="A9" s="52" t="s">
        <v>36</v>
      </c>
      <c r="B9" s="72" t="s">
        <v>115</v>
      </c>
      <c r="C9" s="72"/>
      <c r="D9" s="2"/>
    </row>
    <row r="10" spans="1:4" x14ac:dyDescent="0.2">
      <c r="A10" s="52"/>
      <c r="B10" s="72" t="s">
        <v>116</v>
      </c>
      <c r="C10" s="72"/>
      <c r="D10" s="2"/>
    </row>
    <row r="11" spans="1:4" x14ac:dyDescent="0.2">
      <c r="A11" s="52" t="s">
        <v>37</v>
      </c>
      <c r="B11" s="73" t="s">
        <v>117</v>
      </c>
      <c r="C11" s="72"/>
      <c r="D11" s="2"/>
    </row>
    <row r="12" spans="1:4" x14ac:dyDescent="0.2">
      <c r="A12" s="72"/>
      <c r="B12" s="72"/>
      <c r="C12" s="72"/>
      <c r="D12" s="2"/>
    </row>
    <row r="13" spans="1:4" x14ac:dyDescent="0.2">
      <c r="A13" s="2"/>
      <c r="B13" s="2"/>
      <c r="C13" s="2"/>
      <c r="D13" s="2"/>
    </row>
    <row r="14" spans="1:4" x14ac:dyDescent="0.2">
      <c r="A14" s="2"/>
      <c r="B14" s="2"/>
      <c r="C14" s="2"/>
      <c r="D14" s="2"/>
    </row>
  </sheetData>
  <sheetProtection algorithmName="SHA-512" hashValue="es+vDWQY7XSnYn6pHOPyyI9C4NNipzV3GwjpAaV2JOwpMFw12Hq3Lno4sP0UxybtZw/Bgk+jMssKhNbDzuksoQ==" saltValue="6u73eaIniG4lNpq+4AyvfQ==" spinCount="100000" sheet="1" selectLockedCells="1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FB39C-A247-4195-9126-ACDC263D4A53}">
  <dimension ref="A1:F27"/>
  <sheetViews>
    <sheetView tabSelected="1" zoomScale="140" zoomScaleNormal="140" workbookViewId="0">
      <selection activeCell="C6" sqref="C6"/>
    </sheetView>
  </sheetViews>
  <sheetFormatPr baseColWidth="10" defaultColWidth="0" defaultRowHeight="15" zeroHeight="1" x14ac:dyDescent="0.2"/>
  <cols>
    <col min="1" max="1" width="16" style="2" customWidth="1"/>
    <col min="2" max="2" width="16.6640625" style="2" customWidth="1"/>
    <col min="3" max="3" width="34.6640625" style="2" customWidth="1"/>
    <col min="4" max="4" width="11.5" style="2" customWidth="1"/>
    <col min="5" max="5" width="30" style="2" customWidth="1"/>
    <col min="6" max="6" width="11.5" style="2" customWidth="1"/>
    <col min="7" max="16384" width="11.5" hidden="1"/>
  </cols>
  <sheetData>
    <row r="1" spans="1:6" s="21" customFormat="1" x14ac:dyDescent="0.2">
      <c r="A1" s="78" t="str">
        <f>Einstellungen!B5</f>
        <v>Württembergische Meisterschaft und Edelweiß Cup</v>
      </c>
      <c r="B1" s="79"/>
      <c r="C1" s="79"/>
      <c r="D1" s="79"/>
      <c r="E1" s="79"/>
      <c r="F1" s="2"/>
    </row>
    <row r="2" spans="1:6" s="21" customFormat="1" x14ac:dyDescent="0.2">
      <c r="A2" s="79"/>
      <c r="B2" s="79"/>
      <c r="C2" s="79"/>
      <c r="D2" s="79"/>
      <c r="E2" s="79"/>
      <c r="F2" s="2"/>
    </row>
    <row r="3" spans="1:6" s="21" customFormat="1" x14ac:dyDescent="0.2">
      <c r="A3" s="80">
        <f>Einstellungen!B6</f>
        <v>46151</v>
      </c>
      <c r="B3" s="81"/>
      <c r="C3" s="81"/>
      <c r="D3" s="81"/>
      <c r="E3" s="81"/>
      <c r="F3" s="2"/>
    </row>
    <row r="4" spans="1:6" s="21" customFormat="1" x14ac:dyDescent="0.2">
      <c r="A4" s="81"/>
      <c r="B4" s="81"/>
      <c r="C4" s="81"/>
      <c r="D4" s="81"/>
      <c r="E4" s="81"/>
      <c r="F4" s="2"/>
    </row>
    <row r="5" spans="1:6" s="21" customFormat="1" x14ac:dyDescent="0.2">
      <c r="A5" s="2"/>
      <c r="B5" s="2"/>
      <c r="C5" s="2"/>
      <c r="D5" s="2"/>
      <c r="E5" s="2"/>
      <c r="F5" s="2"/>
    </row>
    <row r="6" spans="1:6" s="21" customFormat="1" x14ac:dyDescent="0.2">
      <c r="A6" s="2"/>
      <c r="B6" s="54" t="s">
        <v>0</v>
      </c>
      <c r="C6" s="20"/>
      <c r="D6" s="2"/>
      <c r="E6" s="82"/>
      <c r="F6" s="2"/>
    </row>
    <row r="7" spans="1:6" s="21" customFormat="1" x14ac:dyDescent="0.2">
      <c r="A7" s="2"/>
      <c r="B7" s="54" t="s">
        <v>1</v>
      </c>
      <c r="C7" s="22"/>
      <c r="D7" s="2"/>
      <c r="E7" s="82"/>
      <c r="F7" s="2"/>
    </row>
    <row r="8" spans="1:6" s="21" customFormat="1" x14ac:dyDescent="0.2">
      <c r="A8" s="2"/>
      <c r="B8" s="54" t="s">
        <v>2</v>
      </c>
      <c r="C8" s="20"/>
      <c r="D8" s="2"/>
      <c r="E8" s="82"/>
      <c r="F8" s="2"/>
    </row>
    <row r="9" spans="1:6" s="21" customFormat="1" x14ac:dyDescent="0.2">
      <c r="A9" s="2"/>
      <c r="B9" s="54" t="s">
        <v>3</v>
      </c>
      <c r="C9" s="22"/>
      <c r="D9" s="2"/>
      <c r="E9" s="82"/>
      <c r="F9" s="2"/>
    </row>
    <row r="10" spans="1:6" s="21" customFormat="1" x14ac:dyDescent="0.2">
      <c r="A10" s="2"/>
      <c r="B10" s="54" t="s">
        <v>4</v>
      </c>
      <c r="C10" s="20"/>
      <c r="D10" s="2"/>
      <c r="E10" s="82"/>
      <c r="F10" s="2"/>
    </row>
    <row r="11" spans="1:6" s="21" customFormat="1" x14ac:dyDescent="0.2">
      <c r="A11" s="2"/>
      <c r="B11" s="54" t="s">
        <v>5</v>
      </c>
      <c r="C11" s="22"/>
      <c r="D11" s="2"/>
      <c r="E11" s="82"/>
      <c r="F11" s="2"/>
    </row>
    <row r="12" spans="1:6" s="21" customFormat="1" x14ac:dyDescent="0.2">
      <c r="A12" s="2"/>
      <c r="B12" s="54" t="s">
        <v>6</v>
      </c>
      <c r="C12" s="20"/>
      <c r="D12" s="2"/>
      <c r="E12" s="82"/>
      <c r="F12" s="2"/>
    </row>
    <row r="13" spans="1:6" s="21" customFormat="1" x14ac:dyDescent="0.2">
      <c r="A13" s="2"/>
      <c r="B13" s="54" t="s">
        <v>7</v>
      </c>
      <c r="C13" s="22"/>
      <c r="D13" s="2"/>
      <c r="E13" s="82"/>
      <c r="F13" s="2"/>
    </row>
    <row r="14" spans="1:6" s="21" customFormat="1" x14ac:dyDescent="0.2">
      <c r="A14" s="2"/>
      <c r="B14" s="2"/>
      <c r="C14" s="2"/>
      <c r="D14" s="2"/>
      <c r="E14" s="82"/>
      <c r="F14" s="2"/>
    </row>
    <row r="15" spans="1:6" s="21" customFormat="1" x14ac:dyDescent="0.2">
      <c r="A15" s="2"/>
      <c r="B15" s="2"/>
      <c r="C15" s="2"/>
      <c r="D15" s="2"/>
      <c r="E15" s="82"/>
      <c r="F15" s="2"/>
    </row>
    <row r="16" spans="1:6" s="21" customFormat="1" x14ac:dyDescent="0.2">
      <c r="A16" s="2"/>
      <c r="B16" s="2"/>
      <c r="C16" s="23"/>
      <c r="D16" s="2"/>
      <c r="E16" s="82"/>
      <c r="F16" s="2"/>
    </row>
    <row r="17" spans="1:6" s="21" customFormat="1" x14ac:dyDescent="0.2">
      <c r="A17" s="2"/>
      <c r="B17" s="52" t="s">
        <v>8</v>
      </c>
      <c r="C17" s="24">
        <f>Einstellungen!B8</f>
        <v>25</v>
      </c>
      <c r="D17" s="2"/>
      <c r="E17" s="82"/>
      <c r="F17" s="2"/>
    </row>
    <row r="18" spans="1:6" s="21" customFormat="1" ht="32" x14ac:dyDescent="0.2">
      <c r="A18" s="2"/>
      <c r="B18" s="76" t="s">
        <v>122</v>
      </c>
      <c r="C18" s="77">
        <f>Einstellungen!B9</f>
        <v>10</v>
      </c>
      <c r="D18" s="2"/>
      <c r="E18" s="82"/>
      <c r="F18" s="2"/>
    </row>
    <row r="19" spans="1:6" s="21" customFormat="1" x14ac:dyDescent="0.2">
      <c r="A19" s="2"/>
      <c r="B19" s="2"/>
      <c r="C19" s="2"/>
      <c r="D19" s="2"/>
      <c r="E19" s="2"/>
      <c r="F19" s="2"/>
    </row>
    <row r="20" spans="1:6" s="21" customFormat="1" x14ac:dyDescent="0.2">
      <c r="A20" s="2"/>
      <c r="B20" s="2"/>
      <c r="C20" s="24"/>
      <c r="D20" s="2"/>
      <c r="E20" s="2"/>
      <c r="F20" s="2"/>
    </row>
    <row r="21" spans="1:6" s="21" customFormat="1" x14ac:dyDescent="0.2">
      <c r="A21" s="2"/>
      <c r="B21" s="2"/>
      <c r="C21" s="2"/>
      <c r="D21" s="2"/>
      <c r="E21" s="2"/>
      <c r="F21" s="2"/>
    </row>
    <row r="22" spans="1:6" s="21" customFormat="1" x14ac:dyDescent="0.2">
      <c r="A22" s="2"/>
      <c r="B22" s="2"/>
      <c r="C22" s="2"/>
      <c r="D22" s="2"/>
      <c r="E22" s="2"/>
      <c r="F22" s="2"/>
    </row>
    <row r="23" spans="1:6" s="21" customFormat="1" x14ac:dyDescent="0.2">
      <c r="A23" s="2"/>
      <c r="B23" s="52" t="s">
        <v>14</v>
      </c>
      <c r="C23" s="25">
        <f>Einstellungen!B10</f>
        <v>46129</v>
      </c>
      <c r="D23" s="2"/>
      <c r="E23" s="2"/>
      <c r="F23" s="2"/>
    </row>
    <row r="24" spans="1:6" s="21" customFormat="1" x14ac:dyDescent="0.2">
      <c r="A24" s="2"/>
      <c r="B24" s="2"/>
      <c r="C24" s="2"/>
      <c r="D24" s="2"/>
      <c r="E24" s="2"/>
      <c r="F24" s="2"/>
    </row>
    <row r="25" spans="1:6" s="21" customFormat="1" x14ac:dyDescent="0.2">
      <c r="A25" s="2"/>
      <c r="B25" s="52" t="s">
        <v>103</v>
      </c>
      <c r="C25" s="26" t="str">
        <f>Einstellungen!B11</f>
        <v>schriftfuehrer@rv-wellendingen.de</v>
      </c>
      <c r="D25" s="2"/>
      <c r="E25" s="2"/>
      <c r="F25" s="2"/>
    </row>
    <row r="26" spans="1:6" s="21" customFormat="1" x14ac:dyDescent="0.2">
      <c r="A26" s="2"/>
      <c r="B26" s="52" t="s">
        <v>104</v>
      </c>
      <c r="C26" s="41"/>
      <c r="D26" s="2"/>
      <c r="E26" s="2"/>
      <c r="F26" s="2"/>
    </row>
    <row r="27" spans="1:6" s="21" customFormat="1" x14ac:dyDescent="0.2">
      <c r="A27" s="2"/>
      <c r="B27" s="2"/>
      <c r="C27" s="2"/>
      <c r="D27" s="2"/>
      <c r="E27" s="2"/>
      <c r="F27" s="2"/>
    </row>
  </sheetData>
  <sheetProtection algorithmName="SHA-512" hashValue="MHkS7mEN5cZduwcpHSiQRvlbcs+0imF0mREvt4qQZ2VgYKQHG4XegtEjqf9op4QdhpR2XSp1NVGBOgUZVt/3Gw==" saltValue="Hw56kXpwaw2DoonxwabfFw==" spinCount="100000" sheet="1" selectLockedCells="1"/>
  <protectedRanges>
    <protectedRange sqref="C6:C13" name="Allgemeine Informationen"/>
  </protectedRanges>
  <mergeCells count="3">
    <mergeCell ref="A1:E2"/>
    <mergeCell ref="A3:E4"/>
    <mergeCell ref="E6:E18"/>
  </mergeCells>
  <hyperlinks>
    <hyperlink ref="C25" r:id="rId1" display="email@einrad.de" xr:uid="{2F73C1FC-F188-49BF-A4D1-07B26496EC1A}"/>
  </hyperlinks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420F2-FF16-46DB-A5AD-422CE2D7DBBD}">
  <dimension ref="A1:P60"/>
  <sheetViews>
    <sheetView zoomScale="110" zoomScaleNormal="110" workbookViewId="0">
      <selection activeCell="B11" sqref="B11"/>
    </sheetView>
  </sheetViews>
  <sheetFormatPr baseColWidth="10" defaultColWidth="0" defaultRowHeight="15" zeroHeight="1" x14ac:dyDescent="0.2"/>
  <cols>
    <col min="1" max="1" width="4.33203125" style="34" customWidth="1"/>
    <col min="2" max="3" width="18.6640625" style="21" customWidth="1"/>
    <col min="4" max="4" width="4.6640625" style="36" customWidth="1"/>
    <col min="5" max="5" width="12.83203125" style="36" customWidth="1"/>
    <col min="6" max="6" width="8.5" customWidth="1"/>
    <col min="7" max="13" width="4.5" style="36" customWidth="1"/>
    <col min="14" max="14" width="10.83203125" style="1" customWidth="1"/>
    <col min="15" max="15" width="22" style="21" customWidth="1"/>
    <col min="16" max="16" width="20.1640625" style="21" customWidth="1"/>
    <col min="17" max="16384" width="11.5" hidden="1"/>
  </cols>
  <sheetData>
    <row r="1" spans="1:16" x14ac:dyDescent="0.2">
      <c r="A1" s="85" t="str">
        <f>Einstellungen!B5</f>
        <v>Württembergische Meisterschaft und Edelweiß Cup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</row>
    <row r="2" spans="1:16" x14ac:dyDescent="0.2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</row>
    <row r="3" spans="1:16" x14ac:dyDescent="0.2">
      <c r="A3" s="80">
        <f>Einstellungen!B6</f>
        <v>46151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</row>
    <row r="4" spans="1:16" x14ac:dyDescent="0.2">
      <c r="A4" s="81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</row>
    <row r="5" spans="1:16" x14ac:dyDescent="0.2">
      <c r="A5" s="4"/>
      <c r="B5" s="2"/>
      <c r="C5" s="2"/>
      <c r="D5" s="3"/>
      <c r="E5" s="3"/>
      <c r="F5" s="2"/>
      <c r="G5" s="3"/>
      <c r="H5" s="3"/>
      <c r="I5" s="3"/>
      <c r="J5" s="3"/>
      <c r="K5" s="3"/>
      <c r="L5" s="3"/>
      <c r="M5" s="3"/>
      <c r="N5" s="2"/>
      <c r="O5" s="2"/>
      <c r="P5" s="2"/>
    </row>
    <row r="6" spans="1:16" x14ac:dyDescent="0.2">
      <c r="A6" s="84" t="s">
        <v>0</v>
      </c>
      <c r="B6" s="84"/>
      <c r="C6" s="86">
        <f>'Allgemeine Informationen'!C6</f>
        <v>0</v>
      </c>
      <c r="D6" s="86"/>
      <c r="E6" s="86"/>
      <c r="F6" s="2"/>
      <c r="G6" s="3"/>
      <c r="H6" s="3"/>
      <c r="I6" s="3"/>
      <c r="J6" s="3"/>
      <c r="K6" s="3"/>
      <c r="L6" s="3"/>
      <c r="M6" s="3"/>
      <c r="N6" s="2"/>
      <c r="O6" s="2"/>
      <c r="P6" s="2"/>
    </row>
    <row r="7" spans="1:16" x14ac:dyDescent="0.2">
      <c r="A7" s="4"/>
      <c r="B7" s="2"/>
      <c r="C7" s="2"/>
      <c r="D7" s="3"/>
      <c r="E7" s="3"/>
      <c r="F7" s="2"/>
      <c r="G7" s="87" t="s">
        <v>106</v>
      </c>
      <c r="H7" s="88"/>
      <c r="I7" s="87" t="s">
        <v>112</v>
      </c>
      <c r="J7" s="89"/>
      <c r="K7" s="89"/>
      <c r="L7" s="88"/>
      <c r="M7" s="3"/>
      <c r="N7" s="2"/>
      <c r="O7" s="2"/>
      <c r="P7" s="2"/>
    </row>
    <row r="8" spans="1:16" ht="116.25" customHeight="1" x14ac:dyDescent="0.2">
      <c r="A8" s="55" t="s">
        <v>16</v>
      </c>
      <c r="B8" s="55" t="s">
        <v>17</v>
      </c>
      <c r="C8" s="55" t="s">
        <v>18</v>
      </c>
      <c r="D8" s="55" t="s">
        <v>19</v>
      </c>
      <c r="E8" s="56" t="s">
        <v>20</v>
      </c>
      <c r="F8" s="55" t="s">
        <v>21</v>
      </c>
      <c r="G8" s="55" t="s">
        <v>22</v>
      </c>
      <c r="H8" s="55" t="s">
        <v>23</v>
      </c>
      <c r="I8" s="55" t="s">
        <v>24</v>
      </c>
      <c r="J8" s="55" t="s">
        <v>25</v>
      </c>
      <c r="K8" s="55" t="s">
        <v>26</v>
      </c>
      <c r="L8" s="55" t="s">
        <v>27</v>
      </c>
      <c r="M8" s="55" t="s">
        <v>84</v>
      </c>
      <c r="N8" s="55" t="s">
        <v>8</v>
      </c>
      <c r="O8" s="55" t="s">
        <v>28</v>
      </c>
      <c r="P8" s="57" t="s">
        <v>29</v>
      </c>
    </row>
    <row r="9" spans="1:16" x14ac:dyDescent="0.2">
      <c r="A9" s="7">
        <v>0</v>
      </c>
      <c r="B9" s="8" t="s">
        <v>48</v>
      </c>
      <c r="C9" s="8" t="s">
        <v>50</v>
      </c>
      <c r="D9" s="9" t="s">
        <v>31</v>
      </c>
      <c r="E9" s="46">
        <v>42157</v>
      </c>
      <c r="F9" s="9">
        <f>IF(E9,DATEDIF(E9,Einstellungen!$B$7,"Y"),"")</f>
        <v>10</v>
      </c>
      <c r="G9" s="9"/>
      <c r="H9" s="9">
        <v>3</v>
      </c>
      <c r="I9" s="9"/>
      <c r="J9" s="9"/>
      <c r="K9" s="9">
        <v>1</v>
      </c>
      <c r="L9" s="9">
        <v>2</v>
      </c>
      <c r="M9" s="9"/>
      <c r="N9" s="10">
        <f>IF(COUNTIF(G9:L9,"ja")+COUNT(G9:L9)=1,Einstellungen!$B$9,IF(COUNTIF(G9:L9,"ja")+COUNT(G9:L9)&gt;1,Einstellungen!$B$8,""))</f>
        <v>25</v>
      </c>
      <c r="O9" s="8"/>
      <c r="P9" s="35"/>
    </row>
    <row r="10" spans="1:16" x14ac:dyDescent="0.2">
      <c r="A10" s="7">
        <v>0</v>
      </c>
      <c r="B10" s="8" t="s">
        <v>49</v>
      </c>
      <c r="C10" s="8" t="s">
        <v>51</v>
      </c>
      <c r="D10" s="9" t="s">
        <v>32</v>
      </c>
      <c r="E10" s="46">
        <v>38424</v>
      </c>
      <c r="F10" s="9">
        <f>IF(E10,DATEDIF(E10,Einstellungen!$B$7,"Y"),"")</f>
        <v>21</v>
      </c>
      <c r="G10" s="9"/>
      <c r="H10" s="9"/>
      <c r="I10" s="9"/>
      <c r="J10" s="9"/>
      <c r="K10" s="9"/>
      <c r="L10" s="9">
        <v>2</v>
      </c>
      <c r="M10" s="9"/>
      <c r="N10" s="10">
        <f>IF(COUNTIF(G10:L10,"ja")+COUNT(G10:L10)=1,Einstellungen!$B$9,IF(COUNTIF(G10:L10,"ja")+COUNT(G10:L10)&gt;1,Einstellungen!$B$8,""))</f>
        <v>10</v>
      </c>
      <c r="O10" s="8"/>
      <c r="P10" s="35"/>
    </row>
    <row r="11" spans="1:16" x14ac:dyDescent="0.2">
      <c r="A11" s="7">
        <v>1</v>
      </c>
      <c r="B11" s="20"/>
      <c r="C11" s="20"/>
      <c r="D11" s="43"/>
      <c r="E11" s="47"/>
      <c r="F11" s="9" t="str">
        <f>IF(E11,DATEDIF(E11,Einstellungen!$B$7,"Y"),"")</f>
        <v/>
      </c>
      <c r="G11" s="43"/>
      <c r="H11" s="43"/>
      <c r="I11" s="43"/>
      <c r="J11" s="50"/>
      <c r="K11" s="43"/>
      <c r="L11" s="43"/>
      <c r="M11" s="43"/>
      <c r="N11" s="10" t="str">
        <f>IF(COUNTIF(G11:L11,"ja")+COUNT(G11:L11)=1,Einstellungen!$B$9,IF(COUNTIF(G11:L11,"ja")+COUNT(G11:L11)&gt;1,Einstellungen!$B$8,""))</f>
        <v/>
      </c>
      <c r="O11" s="20"/>
      <c r="P11" s="28"/>
    </row>
    <row r="12" spans="1:16" x14ac:dyDescent="0.2">
      <c r="A12" s="7">
        <v>2</v>
      </c>
      <c r="B12" s="22"/>
      <c r="C12" s="22"/>
      <c r="D12" s="44"/>
      <c r="E12" s="48"/>
      <c r="F12" s="9" t="str">
        <f>IF(E12,DATEDIF(E12,Einstellungen!$B$7,"Y"),"")</f>
        <v/>
      </c>
      <c r="G12" s="44"/>
      <c r="H12" s="44"/>
      <c r="I12" s="44"/>
      <c r="J12" s="40"/>
      <c r="K12" s="44"/>
      <c r="L12" s="44"/>
      <c r="M12" s="44"/>
      <c r="N12" s="10" t="str">
        <f>IF(COUNTIF(G12:L12,"ja")+COUNT(G12:L12)=1,Einstellungen!$B$9,IF(COUNTIF(G12:L12,"ja")+COUNT(G12:L12)&gt;1,Einstellungen!$B$8,""))</f>
        <v/>
      </c>
      <c r="O12" s="22"/>
      <c r="P12" s="27"/>
    </row>
    <row r="13" spans="1:16" x14ac:dyDescent="0.2">
      <c r="A13" s="7">
        <v>3</v>
      </c>
      <c r="B13" s="20"/>
      <c r="C13" s="20"/>
      <c r="D13" s="43"/>
      <c r="E13" s="47"/>
      <c r="F13" s="9" t="str">
        <f>IF(E13,DATEDIF(E13,Einstellungen!$B$7,"Y"),"")</f>
        <v/>
      </c>
      <c r="G13" s="43"/>
      <c r="H13" s="43"/>
      <c r="I13" s="43"/>
      <c r="J13" s="50"/>
      <c r="K13" s="43"/>
      <c r="L13" s="43"/>
      <c r="M13" s="43"/>
      <c r="N13" s="10" t="str">
        <f>IF(COUNTIF(G13:L13,"ja")+COUNT(G13:L13)=1,Einstellungen!$B$9,IF(COUNTIF(G13:L13,"ja")+COUNT(G13:L13)&gt;1,Einstellungen!$B$8,""))</f>
        <v/>
      </c>
      <c r="O13" s="20"/>
      <c r="P13" s="28"/>
    </row>
    <row r="14" spans="1:16" x14ac:dyDescent="0.2">
      <c r="A14" s="7">
        <v>4</v>
      </c>
      <c r="B14" s="22"/>
      <c r="C14" s="22"/>
      <c r="D14" s="44"/>
      <c r="E14" s="48"/>
      <c r="F14" s="9" t="str">
        <f>IF(E14,DATEDIF(E14,Einstellungen!$B$7,"Y"),"")</f>
        <v/>
      </c>
      <c r="G14" s="44"/>
      <c r="H14" s="44"/>
      <c r="I14" s="44"/>
      <c r="J14" s="40"/>
      <c r="K14" s="44"/>
      <c r="L14" s="44"/>
      <c r="M14" s="44"/>
      <c r="N14" s="10" t="str">
        <f>IF(COUNTIF(G14:L14,"ja")+COUNT(G14:L14)=1,Einstellungen!$B$9,IF(COUNTIF(G14:L14,"ja")+COUNT(G14:L14)&gt;1,Einstellungen!$B$8,""))</f>
        <v/>
      </c>
      <c r="O14" s="22"/>
      <c r="P14" s="27"/>
    </row>
    <row r="15" spans="1:16" x14ac:dyDescent="0.2">
      <c r="A15" s="7">
        <v>5</v>
      </c>
      <c r="B15" s="20"/>
      <c r="C15" s="20"/>
      <c r="D15" s="43"/>
      <c r="E15" s="47"/>
      <c r="F15" s="9" t="str">
        <f>IF(E15,DATEDIF(E15,Einstellungen!$B$7,"Y"),"")</f>
        <v/>
      </c>
      <c r="G15" s="43"/>
      <c r="H15" s="43"/>
      <c r="I15" s="43"/>
      <c r="J15" s="50"/>
      <c r="K15" s="43"/>
      <c r="L15" s="43"/>
      <c r="M15" s="43"/>
      <c r="N15" s="10" t="str">
        <f>IF(COUNTIF(G15:L15,"ja")+COUNT(G15:L15)=1,Einstellungen!$B$9,IF(COUNTIF(G15:L15,"ja")+COUNT(G15:L15)&gt;1,Einstellungen!$B$8,""))</f>
        <v/>
      </c>
      <c r="O15" s="20"/>
      <c r="P15" s="28"/>
    </row>
    <row r="16" spans="1:16" x14ac:dyDescent="0.2">
      <c r="A16" s="7">
        <v>6</v>
      </c>
      <c r="B16" s="22"/>
      <c r="C16" s="22"/>
      <c r="D16" s="44"/>
      <c r="E16" s="48"/>
      <c r="F16" s="9" t="str">
        <f>IF(E16,DATEDIF(E16,Einstellungen!$B$7,"Y"),"")</f>
        <v/>
      </c>
      <c r="G16" s="44"/>
      <c r="H16" s="44"/>
      <c r="I16" s="44"/>
      <c r="J16" s="40"/>
      <c r="K16" s="44"/>
      <c r="L16" s="44"/>
      <c r="M16" s="44"/>
      <c r="N16" s="10" t="str">
        <f>IF(COUNTIF(G16:L16,"ja")+COUNT(G16:L16)=1,Einstellungen!$B$9,IF(COUNTIF(G16:L16,"ja")+COUNT(G16:L16)&gt;1,Einstellungen!$B$8,""))</f>
        <v/>
      </c>
      <c r="O16" s="22"/>
      <c r="P16" s="27"/>
    </row>
    <row r="17" spans="1:16" x14ac:dyDescent="0.2">
      <c r="A17" s="7">
        <v>7</v>
      </c>
      <c r="B17" s="20"/>
      <c r="C17" s="20"/>
      <c r="D17" s="43"/>
      <c r="E17" s="47"/>
      <c r="F17" s="9" t="str">
        <f>IF(E17,DATEDIF(E17,Einstellungen!$B$7,"Y"),"")</f>
        <v/>
      </c>
      <c r="G17" s="43"/>
      <c r="H17" s="43"/>
      <c r="I17" s="43"/>
      <c r="J17" s="50"/>
      <c r="K17" s="43"/>
      <c r="L17" s="43"/>
      <c r="M17" s="43"/>
      <c r="N17" s="10" t="str">
        <f>IF(COUNTIF(G17:L17,"ja")+COUNT(G17:L17)=1,Einstellungen!$B$9,IF(COUNTIF(G17:L17,"ja")+COUNT(G17:L17)&gt;1,Einstellungen!$B$8,""))</f>
        <v/>
      </c>
      <c r="O17" s="20"/>
      <c r="P17" s="28"/>
    </row>
    <row r="18" spans="1:16" x14ac:dyDescent="0.2">
      <c r="A18" s="7">
        <v>8</v>
      </c>
      <c r="B18" s="22"/>
      <c r="C18" s="22"/>
      <c r="D18" s="44"/>
      <c r="E18" s="48"/>
      <c r="F18" s="9" t="str">
        <f>IF(E18,DATEDIF(E18,Einstellungen!$B$7,"Y"),"")</f>
        <v/>
      </c>
      <c r="G18" s="44"/>
      <c r="H18" s="44"/>
      <c r="I18" s="44"/>
      <c r="J18" s="40"/>
      <c r="K18" s="44"/>
      <c r="L18" s="44"/>
      <c r="M18" s="44"/>
      <c r="N18" s="10" t="str">
        <f>IF(COUNTIF(G18:L18,"ja")+COUNT(G18:L18)=1,Einstellungen!$B$9,IF(COUNTIF(G18:L18,"ja")+COUNT(G18:L18)&gt;1,Einstellungen!$B$8,""))</f>
        <v/>
      </c>
      <c r="O18" s="22"/>
      <c r="P18" s="27"/>
    </row>
    <row r="19" spans="1:16" x14ac:dyDescent="0.2">
      <c r="A19" s="7">
        <v>9</v>
      </c>
      <c r="B19" s="20"/>
      <c r="C19" s="20"/>
      <c r="D19" s="43"/>
      <c r="E19" s="47"/>
      <c r="F19" s="9" t="str">
        <f>IF(E19,DATEDIF(E19,Einstellungen!$B$7,"Y"),"")</f>
        <v/>
      </c>
      <c r="G19" s="43"/>
      <c r="H19" s="43"/>
      <c r="I19" s="43"/>
      <c r="J19" s="50"/>
      <c r="K19" s="43"/>
      <c r="L19" s="43"/>
      <c r="M19" s="43"/>
      <c r="N19" s="10" t="str">
        <f>IF(COUNTIF(G19:L19,"ja")+COUNT(G19:L19)=1,Einstellungen!$B$9,IF(COUNTIF(G19:L19,"ja")+COUNT(G19:L19)&gt;1,Einstellungen!$B$8,""))</f>
        <v/>
      </c>
      <c r="O19" s="20"/>
      <c r="P19" s="28"/>
    </row>
    <row r="20" spans="1:16" x14ac:dyDescent="0.2">
      <c r="A20" s="7">
        <v>10</v>
      </c>
      <c r="B20" s="22"/>
      <c r="C20" s="22"/>
      <c r="D20" s="44"/>
      <c r="E20" s="48"/>
      <c r="F20" s="9" t="str">
        <f>IF(E20,DATEDIF(E20,Einstellungen!$B$7,"Y"),"")</f>
        <v/>
      </c>
      <c r="G20" s="44"/>
      <c r="H20" s="44"/>
      <c r="I20" s="44"/>
      <c r="J20" s="40"/>
      <c r="K20" s="44"/>
      <c r="L20" s="44"/>
      <c r="M20" s="44"/>
      <c r="N20" s="10" t="str">
        <f>IF(COUNTIF(G20:L20,"ja")+COUNT(G20:L20)=1,Einstellungen!$B$9,IF(COUNTIF(G20:L20,"ja")+COUNT(G20:L20)&gt;1,Einstellungen!$B$8,""))</f>
        <v/>
      </c>
      <c r="O20" s="22"/>
      <c r="P20" s="27"/>
    </row>
    <row r="21" spans="1:16" x14ac:dyDescent="0.2">
      <c r="A21" s="7">
        <v>11</v>
      </c>
      <c r="B21" s="20"/>
      <c r="C21" s="20"/>
      <c r="D21" s="43"/>
      <c r="E21" s="47"/>
      <c r="F21" s="9" t="str">
        <f>IF(E21,DATEDIF(E21,Einstellungen!$B$7,"Y"),"")</f>
        <v/>
      </c>
      <c r="G21" s="43"/>
      <c r="H21" s="43"/>
      <c r="I21" s="43"/>
      <c r="J21" s="50"/>
      <c r="K21" s="43"/>
      <c r="L21" s="43"/>
      <c r="M21" s="43"/>
      <c r="N21" s="10" t="str">
        <f>IF(COUNTIF(G21:L21,"ja")+COUNT(G21:L21)=1,Einstellungen!$B$9,IF(COUNTIF(G21:L21,"ja")+COUNT(G21:L21)&gt;1,Einstellungen!$B$8,""))</f>
        <v/>
      </c>
      <c r="O21" s="20"/>
      <c r="P21" s="28"/>
    </row>
    <row r="22" spans="1:16" x14ac:dyDescent="0.2">
      <c r="A22" s="7">
        <v>12</v>
      </c>
      <c r="B22" s="22"/>
      <c r="C22" s="22"/>
      <c r="D22" s="44"/>
      <c r="E22" s="48"/>
      <c r="F22" s="9" t="str">
        <f>IF(E22,DATEDIF(E22,Einstellungen!$B$7,"Y"),"")</f>
        <v/>
      </c>
      <c r="G22" s="44"/>
      <c r="H22" s="44"/>
      <c r="I22" s="44"/>
      <c r="J22" s="40"/>
      <c r="K22" s="44"/>
      <c r="L22" s="44"/>
      <c r="M22" s="44"/>
      <c r="N22" s="10" t="str">
        <f>IF(COUNTIF(G22:L22,"ja")+COUNT(G22:L22)=1,Einstellungen!$B$9,IF(COUNTIF(G22:L22,"ja")+COUNT(G22:L22)&gt;1,Einstellungen!$B$8,""))</f>
        <v/>
      </c>
      <c r="O22" s="22"/>
      <c r="P22" s="27"/>
    </row>
    <row r="23" spans="1:16" x14ac:dyDescent="0.2">
      <c r="A23" s="7">
        <v>13</v>
      </c>
      <c r="B23" s="20"/>
      <c r="C23" s="20"/>
      <c r="D23" s="43"/>
      <c r="E23" s="47"/>
      <c r="F23" s="9" t="str">
        <f>IF(E23,DATEDIF(E23,Einstellungen!$B$7,"Y"),"")</f>
        <v/>
      </c>
      <c r="G23" s="43"/>
      <c r="H23" s="43"/>
      <c r="I23" s="43"/>
      <c r="J23" s="50"/>
      <c r="K23" s="43"/>
      <c r="L23" s="43"/>
      <c r="M23" s="43"/>
      <c r="N23" s="10" t="str">
        <f>IF(COUNTIF(G23:L23,"ja")+COUNT(G23:L23)=1,Einstellungen!$B$9,IF(COUNTIF(G23:L23,"ja")+COUNT(G23:L23)&gt;1,Einstellungen!$B$8,""))</f>
        <v/>
      </c>
      <c r="O23" s="20"/>
      <c r="P23" s="28"/>
    </row>
    <row r="24" spans="1:16" x14ac:dyDescent="0.2">
      <c r="A24" s="7">
        <v>14</v>
      </c>
      <c r="B24" s="22"/>
      <c r="C24" s="22"/>
      <c r="D24" s="44"/>
      <c r="E24" s="48"/>
      <c r="F24" s="9" t="str">
        <f>IF(E24,DATEDIF(E24,Einstellungen!$B$7,"Y"),"")</f>
        <v/>
      </c>
      <c r="G24" s="44"/>
      <c r="H24" s="44"/>
      <c r="I24" s="44"/>
      <c r="J24" s="40"/>
      <c r="K24" s="44"/>
      <c r="L24" s="44"/>
      <c r="M24" s="44"/>
      <c r="N24" s="10" t="str">
        <f>IF(COUNTIF(G24:L24,"ja")+COUNT(G24:L24)=1,Einstellungen!$B$9,IF(COUNTIF(G24:L24,"ja")+COUNT(G24:L24)&gt;1,Einstellungen!$B$8,""))</f>
        <v/>
      </c>
      <c r="O24" s="22"/>
      <c r="P24" s="27"/>
    </row>
    <row r="25" spans="1:16" x14ac:dyDescent="0.2">
      <c r="A25" s="7">
        <v>15</v>
      </c>
      <c r="B25" s="20"/>
      <c r="C25" s="20"/>
      <c r="D25" s="43"/>
      <c r="E25" s="47"/>
      <c r="F25" s="9" t="str">
        <f>IF(E25,DATEDIF(E25,Einstellungen!$B$7,"Y"),"")</f>
        <v/>
      </c>
      <c r="G25" s="43"/>
      <c r="H25" s="43"/>
      <c r="I25" s="43"/>
      <c r="J25" s="50"/>
      <c r="K25" s="43"/>
      <c r="L25" s="43"/>
      <c r="M25" s="43"/>
      <c r="N25" s="10" t="str">
        <f>IF(COUNTIF(G25:L25,"ja")+COUNT(G25:L25)=1,Einstellungen!$B$9,IF(COUNTIF(G25:L25,"ja")+COUNT(G25:L25)&gt;1,Einstellungen!$B$8,""))</f>
        <v/>
      </c>
      <c r="O25" s="20"/>
      <c r="P25" s="28"/>
    </row>
    <row r="26" spans="1:16" x14ac:dyDescent="0.2">
      <c r="A26" s="7">
        <v>16</v>
      </c>
      <c r="B26" s="22"/>
      <c r="C26" s="22"/>
      <c r="D26" s="44"/>
      <c r="E26" s="48"/>
      <c r="F26" s="9" t="str">
        <f>IF(E26,DATEDIF(E26,Einstellungen!$B$7,"Y"),"")</f>
        <v/>
      </c>
      <c r="G26" s="44"/>
      <c r="H26" s="44"/>
      <c r="I26" s="44"/>
      <c r="J26" s="40"/>
      <c r="K26" s="44"/>
      <c r="L26" s="44"/>
      <c r="M26" s="44"/>
      <c r="N26" s="10" t="str">
        <f>IF(COUNTIF(G26:L26,"ja")+COUNT(G26:L26)=1,Einstellungen!$B$9,IF(COUNTIF(G26:L26,"ja")+COUNT(G26:L26)&gt;1,Einstellungen!$B$8,""))</f>
        <v/>
      </c>
      <c r="O26" s="22"/>
      <c r="P26" s="27"/>
    </row>
    <row r="27" spans="1:16" x14ac:dyDescent="0.2">
      <c r="A27" s="7">
        <v>17</v>
      </c>
      <c r="B27" s="20"/>
      <c r="C27" s="20"/>
      <c r="D27" s="43"/>
      <c r="E27" s="47"/>
      <c r="F27" s="9" t="str">
        <f>IF(E27,DATEDIF(E27,Einstellungen!$B$7,"Y"),"")</f>
        <v/>
      </c>
      <c r="G27" s="43"/>
      <c r="H27" s="43"/>
      <c r="I27" s="43"/>
      <c r="J27" s="50"/>
      <c r="K27" s="43"/>
      <c r="L27" s="43"/>
      <c r="M27" s="43"/>
      <c r="N27" s="10" t="str">
        <f>IF(COUNTIF(G27:L27,"ja")+COUNT(G27:L27)=1,Einstellungen!$B$9,IF(COUNTIF(G27:L27,"ja")+COUNT(G27:L27)&gt;1,Einstellungen!$B$8,""))</f>
        <v/>
      </c>
      <c r="O27" s="20"/>
      <c r="P27" s="28"/>
    </row>
    <row r="28" spans="1:16" x14ac:dyDescent="0.2">
      <c r="A28" s="7">
        <v>18</v>
      </c>
      <c r="B28" s="22"/>
      <c r="C28" s="22"/>
      <c r="D28" s="44"/>
      <c r="E28" s="48"/>
      <c r="F28" s="9" t="str">
        <f>IF(E28,DATEDIF(E28,Einstellungen!$B$7,"Y"),"")</f>
        <v/>
      </c>
      <c r="G28" s="44"/>
      <c r="H28" s="44"/>
      <c r="I28" s="44"/>
      <c r="J28" s="40"/>
      <c r="K28" s="44"/>
      <c r="L28" s="44"/>
      <c r="M28" s="44"/>
      <c r="N28" s="10" t="str">
        <f>IF(COUNTIF(G28:L28,"ja")+COUNT(G28:L28)=1,Einstellungen!$B$9,IF(COUNTIF(G28:L28,"ja")+COUNT(G28:L28)&gt;1,Einstellungen!$B$8,""))</f>
        <v/>
      </c>
      <c r="O28" s="22"/>
      <c r="P28" s="27"/>
    </row>
    <row r="29" spans="1:16" x14ac:dyDescent="0.2">
      <c r="A29" s="7">
        <v>19</v>
      </c>
      <c r="B29" s="20"/>
      <c r="C29" s="20"/>
      <c r="D29" s="43"/>
      <c r="E29" s="47"/>
      <c r="F29" s="9" t="str">
        <f>IF(E29,DATEDIF(E29,Einstellungen!$B$7,"Y"),"")</f>
        <v/>
      </c>
      <c r="G29" s="43"/>
      <c r="H29" s="43"/>
      <c r="I29" s="43"/>
      <c r="J29" s="50"/>
      <c r="K29" s="43"/>
      <c r="L29" s="43"/>
      <c r="M29" s="43"/>
      <c r="N29" s="10" t="str">
        <f>IF(COUNTIF(G29:L29,"ja")+COUNT(G29:L29)=1,Einstellungen!$B$9,IF(COUNTIF(G29:L29,"ja")+COUNT(G29:L29)&gt;1,Einstellungen!$B$8,""))</f>
        <v/>
      </c>
      <c r="O29" s="20"/>
      <c r="P29" s="28"/>
    </row>
    <row r="30" spans="1:16" x14ac:dyDescent="0.2">
      <c r="A30" s="7">
        <v>20</v>
      </c>
      <c r="B30" s="22"/>
      <c r="C30" s="22"/>
      <c r="D30" s="44"/>
      <c r="E30" s="48"/>
      <c r="F30" s="9" t="str">
        <f>IF(E30,DATEDIF(E30,Einstellungen!$B$7,"Y"),"")</f>
        <v/>
      </c>
      <c r="G30" s="44"/>
      <c r="H30" s="44"/>
      <c r="I30" s="44"/>
      <c r="J30" s="40"/>
      <c r="K30" s="44"/>
      <c r="L30" s="44"/>
      <c r="M30" s="44"/>
      <c r="N30" s="10" t="str">
        <f>IF(COUNTIF(G30:L30,"ja")+COUNT(G30:L30)=1,Einstellungen!$B$9,IF(COUNTIF(G30:L30,"ja")+COUNT(G30:L30)&gt;1,Einstellungen!$B$8,""))</f>
        <v/>
      </c>
      <c r="O30" s="22"/>
      <c r="P30" s="27"/>
    </row>
    <row r="31" spans="1:16" x14ac:dyDescent="0.2">
      <c r="A31" s="7">
        <v>21</v>
      </c>
      <c r="B31" s="20"/>
      <c r="C31" s="20"/>
      <c r="D31" s="43"/>
      <c r="E31" s="47"/>
      <c r="F31" s="9" t="str">
        <f>IF(E31,DATEDIF(E31,Einstellungen!$B$7,"Y"),"")</f>
        <v/>
      </c>
      <c r="G31" s="43"/>
      <c r="H31" s="43"/>
      <c r="I31" s="43"/>
      <c r="J31" s="50"/>
      <c r="K31" s="43"/>
      <c r="L31" s="43"/>
      <c r="M31" s="43"/>
      <c r="N31" s="10" t="str">
        <f>IF(COUNTIF(G31:L31,"ja")+COUNT(G31:L31)=1,Einstellungen!$B$9,IF(COUNTIF(G31:L31,"ja")+COUNT(G31:L31)&gt;1,Einstellungen!$B$8,""))</f>
        <v/>
      </c>
      <c r="O31" s="20"/>
      <c r="P31" s="28"/>
    </row>
    <row r="32" spans="1:16" x14ac:dyDescent="0.2">
      <c r="A32" s="7">
        <v>22</v>
      </c>
      <c r="B32" s="22"/>
      <c r="C32" s="22"/>
      <c r="D32" s="44"/>
      <c r="E32" s="48"/>
      <c r="F32" s="9" t="str">
        <f>IF(E32,DATEDIF(E32,Einstellungen!$B$7,"Y"),"")</f>
        <v/>
      </c>
      <c r="G32" s="44"/>
      <c r="H32" s="44"/>
      <c r="I32" s="44"/>
      <c r="J32" s="40"/>
      <c r="K32" s="44"/>
      <c r="L32" s="44"/>
      <c r="M32" s="44"/>
      <c r="N32" s="10" t="str">
        <f>IF(COUNTIF(G32:L32,"ja")+COUNT(G32:L32)=1,Einstellungen!$B$9,IF(COUNTIF(G32:L32,"ja")+COUNT(G32:L32)&gt;1,Einstellungen!$B$8,""))</f>
        <v/>
      </c>
      <c r="O32" s="22"/>
      <c r="P32" s="27"/>
    </row>
    <row r="33" spans="1:16" x14ac:dyDescent="0.2">
      <c r="A33" s="7">
        <v>23</v>
      </c>
      <c r="B33" s="20"/>
      <c r="C33" s="20"/>
      <c r="D33" s="43"/>
      <c r="E33" s="47"/>
      <c r="F33" s="9" t="str">
        <f>IF(E33,DATEDIF(E33,Einstellungen!$B$7,"Y"),"")</f>
        <v/>
      </c>
      <c r="G33" s="43"/>
      <c r="H33" s="43"/>
      <c r="I33" s="43"/>
      <c r="J33" s="50"/>
      <c r="K33" s="43"/>
      <c r="L33" s="43"/>
      <c r="M33" s="43"/>
      <c r="N33" s="10" t="str">
        <f>IF(COUNTIF(G33:L33,"ja")+COUNT(G33:L33)=1,Einstellungen!$B$9,IF(COUNTIF(G33:L33,"ja")+COUNT(G33:L33)&gt;1,Einstellungen!$B$8,""))</f>
        <v/>
      </c>
      <c r="O33" s="20"/>
      <c r="P33" s="28"/>
    </row>
    <row r="34" spans="1:16" x14ac:dyDescent="0.2">
      <c r="A34" s="7">
        <v>24</v>
      </c>
      <c r="B34" s="22"/>
      <c r="C34" s="22"/>
      <c r="D34" s="44"/>
      <c r="E34" s="48"/>
      <c r="F34" s="9" t="str">
        <f>IF(E34,DATEDIF(E34,Einstellungen!$B$7,"Y"),"")</f>
        <v/>
      </c>
      <c r="G34" s="44"/>
      <c r="H34" s="44"/>
      <c r="I34" s="44"/>
      <c r="J34" s="40"/>
      <c r="K34" s="44"/>
      <c r="L34" s="44"/>
      <c r="M34" s="44"/>
      <c r="N34" s="10" t="str">
        <f>IF(COUNTIF(G34:L34,"ja")+COUNT(G34:L34)=1,Einstellungen!$B$9,IF(COUNTIF(G34:L34,"ja")+COUNT(G34:L34)&gt;1,Einstellungen!$B$8,""))</f>
        <v/>
      </c>
      <c r="O34" s="22"/>
      <c r="P34" s="27"/>
    </row>
    <row r="35" spans="1:16" x14ac:dyDescent="0.2">
      <c r="A35" s="7">
        <v>25</v>
      </c>
      <c r="B35" s="20"/>
      <c r="C35" s="20"/>
      <c r="D35" s="43"/>
      <c r="E35" s="47"/>
      <c r="F35" s="9" t="str">
        <f>IF(E35,DATEDIF(E35,Einstellungen!$B$7,"Y"),"")</f>
        <v/>
      </c>
      <c r="G35" s="43"/>
      <c r="H35" s="43"/>
      <c r="I35" s="43"/>
      <c r="J35" s="50"/>
      <c r="K35" s="43"/>
      <c r="L35" s="43"/>
      <c r="M35" s="43"/>
      <c r="N35" s="10" t="str">
        <f>IF(COUNTIF(G35:L35,"ja")+COUNT(G35:L35)=1,Einstellungen!$B$9,IF(COUNTIF(G35:L35,"ja")+COUNT(G35:L35)&gt;1,Einstellungen!$B$8,""))</f>
        <v/>
      </c>
      <c r="O35" s="20"/>
      <c r="P35" s="28"/>
    </row>
    <row r="36" spans="1:16" x14ac:dyDescent="0.2">
      <c r="A36" s="7">
        <v>26</v>
      </c>
      <c r="B36" s="22"/>
      <c r="C36" s="22"/>
      <c r="D36" s="44"/>
      <c r="E36" s="48"/>
      <c r="F36" s="9" t="str">
        <f>IF(E36,DATEDIF(E36,Einstellungen!$B$7,"Y"),"")</f>
        <v/>
      </c>
      <c r="G36" s="44"/>
      <c r="H36" s="44"/>
      <c r="I36" s="44"/>
      <c r="J36" s="40"/>
      <c r="K36" s="44"/>
      <c r="L36" s="44"/>
      <c r="M36" s="44"/>
      <c r="N36" s="10" t="str">
        <f>IF(COUNTIF(G36:L36,"ja")+COUNT(G36:L36)=1,Einstellungen!$B$9,IF(COUNTIF(G36:L36,"ja")+COUNT(G36:L36)&gt;1,Einstellungen!$B$8,""))</f>
        <v/>
      </c>
      <c r="O36" s="22"/>
      <c r="P36" s="27"/>
    </row>
    <row r="37" spans="1:16" x14ac:dyDescent="0.2">
      <c r="A37" s="7">
        <v>27</v>
      </c>
      <c r="B37" s="20"/>
      <c r="C37" s="20"/>
      <c r="D37" s="43"/>
      <c r="E37" s="47"/>
      <c r="F37" s="9" t="str">
        <f>IF(E37,DATEDIF(E37,Einstellungen!$B$7,"Y"),"")</f>
        <v/>
      </c>
      <c r="G37" s="43"/>
      <c r="H37" s="43"/>
      <c r="I37" s="43"/>
      <c r="J37" s="50"/>
      <c r="K37" s="43"/>
      <c r="L37" s="43"/>
      <c r="M37" s="43"/>
      <c r="N37" s="10" t="str">
        <f>IF(COUNTIF(G37:L37,"ja")+COUNT(G37:L37)=1,Einstellungen!$B$9,IF(COUNTIF(G37:L37,"ja")+COUNT(G37:L37)&gt;1,Einstellungen!$B$8,""))</f>
        <v/>
      </c>
      <c r="O37" s="20"/>
      <c r="P37" s="28"/>
    </row>
    <row r="38" spans="1:16" x14ac:dyDescent="0.2">
      <c r="A38" s="7">
        <v>28</v>
      </c>
      <c r="B38" s="22"/>
      <c r="C38" s="22"/>
      <c r="D38" s="44"/>
      <c r="E38" s="48"/>
      <c r="F38" s="9" t="str">
        <f>IF(E38,DATEDIF(E38,Einstellungen!$B$7,"Y"),"")</f>
        <v/>
      </c>
      <c r="G38" s="44"/>
      <c r="H38" s="44"/>
      <c r="I38" s="44"/>
      <c r="J38" s="40"/>
      <c r="K38" s="44"/>
      <c r="L38" s="44"/>
      <c r="M38" s="44"/>
      <c r="N38" s="10" t="str">
        <f>IF(COUNTIF(G38:L38,"ja")+COUNT(G38:L38)=1,Einstellungen!$B$9,IF(COUNTIF(G38:L38,"ja")+COUNT(G38:L38)&gt;1,Einstellungen!$B$8,""))</f>
        <v/>
      </c>
      <c r="O38" s="22"/>
      <c r="P38" s="27"/>
    </row>
    <row r="39" spans="1:16" x14ac:dyDescent="0.2">
      <c r="A39" s="7">
        <v>29</v>
      </c>
      <c r="B39" s="20"/>
      <c r="C39" s="20"/>
      <c r="D39" s="43"/>
      <c r="E39" s="47"/>
      <c r="F39" s="9" t="str">
        <f>IF(E39,DATEDIF(E39,Einstellungen!$B$7,"Y"),"")</f>
        <v/>
      </c>
      <c r="G39" s="43"/>
      <c r="H39" s="43"/>
      <c r="I39" s="43"/>
      <c r="J39" s="50"/>
      <c r="K39" s="43"/>
      <c r="L39" s="43"/>
      <c r="M39" s="43"/>
      <c r="N39" s="10" t="str">
        <f>IF(COUNTIF(G39:L39,"ja")+COUNT(G39:L39)=1,Einstellungen!$B$9,IF(COUNTIF(G39:L39,"ja")+COUNT(G39:L39)&gt;1,Einstellungen!$B$8,""))</f>
        <v/>
      </c>
      <c r="O39" s="20"/>
      <c r="P39" s="28"/>
    </row>
    <row r="40" spans="1:16" x14ac:dyDescent="0.2">
      <c r="A40" s="7">
        <v>30</v>
      </c>
      <c r="B40" s="22"/>
      <c r="C40" s="22"/>
      <c r="D40" s="44"/>
      <c r="E40" s="48"/>
      <c r="F40" s="9" t="str">
        <f>IF(E40,DATEDIF(E40,Einstellungen!$B$7,"Y"),"")</f>
        <v/>
      </c>
      <c r="G40" s="44"/>
      <c r="H40" s="44"/>
      <c r="I40" s="44"/>
      <c r="J40" s="40"/>
      <c r="K40" s="44"/>
      <c r="L40" s="44"/>
      <c r="M40" s="44"/>
      <c r="N40" s="10" t="str">
        <f>IF(COUNTIF(G40:L40,"ja")+COUNT(G40:L40)=1,Einstellungen!$B$9,IF(COUNTIF(G40:L40,"ja")+COUNT(G40:L40)&gt;1,Einstellungen!$B$8,""))</f>
        <v/>
      </c>
      <c r="O40" s="22"/>
      <c r="P40" s="27"/>
    </row>
    <row r="41" spans="1:16" x14ac:dyDescent="0.2">
      <c r="A41" s="7">
        <v>31</v>
      </c>
      <c r="B41" s="20"/>
      <c r="C41" s="20"/>
      <c r="D41" s="43"/>
      <c r="E41" s="47"/>
      <c r="F41" s="9" t="str">
        <f>IF(E41,DATEDIF(E41,Einstellungen!$B$7,"Y"),"")</f>
        <v/>
      </c>
      <c r="G41" s="43"/>
      <c r="H41" s="43"/>
      <c r="I41" s="43"/>
      <c r="J41" s="50"/>
      <c r="K41" s="43"/>
      <c r="L41" s="43"/>
      <c r="M41" s="43"/>
      <c r="N41" s="10" t="str">
        <f>IF(COUNTIF(G41:L41,"ja")+COUNT(G41:L41)=1,Einstellungen!$B$9,IF(COUNTIF(G41:L41,"ja")+COUNT(G41:L41)&gt;1,Einstellungen!$B$8,""))</f>
        <v/>
      </c>
      <c r="O41" s="20"/>
      <c r="P41" s="28"/>
    </row>
    <row r="42" spans="1:16" x14ac:dyDescent="0.2">
      <c r="A42" s="7">
        <v>32</v>
      </c>
      <c r="B42" s="22"/>
      <c r="C42" s="22"/>
      <c r="D42" s="44"/>
      <c r="E42" s="48"/>
      <c r="F42" s="9" t="str">
        <f>IF(E42,DATEDIF(E42,Einstellungen!$B$7,"Y"),"")</f>
        <v/>
      </c>
      <c r="G42" s="44"/>
      <c r="H42" s="44"/>
      <c r="I42" s="44"/>
      <c r="J42" s="40"/>
      <c r="K42" s="44"/>
      <c r="L42" s="44"/>
      <c r="M42" s="44"/>
      <c r="N42" s="10" t="str">
        <f>IF(COUNTIF(G42:L42,"ja")+COUNT(G42:L42)=1,Einstellungen!$B$9,IF(COUNTIF(G42:L42,"ja")+COUNT(G42:L42)&gt;1,Einstellungen!$B$8,""))</f>
        <v/>
      </c>
      <c r="O42" s="22"/>
      <c r="P42" s="27"/>
    </row>
    <row r="43" spans="1:16" x14ac:dyDescent="0.2">
      <c r="A43" s="7">
        <v>33</v>
      </c>
      <c r="B43" s="20"/>
      <c r="C43" s="20"/>
      <c r="D43" s="43"/>
      <c r="E43" s="47"/>
      <c r="F43" s="9" t="str">
        <f>IF(E43,DATEDIF(E43,Einstellungen!$B$7,"Y"),"")</f>
        <v/>
      </c>
      <c r="G43" s="43"/>
      <c r="H43" s="43"/>
      <c r="I43" s="43"/>
      <c r="J43" s="50"/>
      <c r="K43" s="43"/>
      <c r="L43" s="43"/>
      <c r="M43" s="43"/>
      <c r="N43" s="10" t="str">
        <f>IF(COUNTIF(G43:L43,"ja")+COUNT(G43:L43)=1,Einstellungen!$B$9,IF(COUNTIF(G43:L43,"ja")+COUNT(G43:L43)&gt;1,Einstellungen!$B$8,""))</f>
        <v/>
      </c>
      <c r="O43" s="20"/>
      <c r="P43" s="28"/>
    </row>
    <row r="44" spans="1:16" x14ac:dyDescent="0.2">
      <c r="A44" s="7">
        <v>34</v>
      </c>
      <c r="B44" s="22"/>
      <c r="C44" s="22"/>
      <c r="D44" s="44"/>
      <c r="E44" s="48"/>
      <c r="F44" s="9" t="str">
        <f>IF(E44,DATEDIF(E44,Einstellungen!$B$7,"Y"),"")</f>
        <v/>
      </c>
      <c r="G44" s="44"/>
      <c r="H44" s="44"/>
      <c r="I44" s="44"/>
      <c r="J44" s="40"/>
      <c r="K44" s="44"/>
      <c r="L44" s="44"/>
      <c r="M44" s="44"/>
      <c r="N44" s="10" t="str">
        <f>IF(COUNTIF(G44:L44,"ja")+COUNT(G44:L44)=1,Einstellungen!$B$9,IF(COUNTIF(G44:L44,"ja")+COUNT(G44:L44)&gt;1,Einstellungen!$B$8,""))</f>
        <v/>
      </c>
      <c r="O44" s="22"/>
      <c r="P44" s="27"/>
    </row>
    <row r="45" spans="1:16" x14ac:dyDescent="0.2">
      <c r="A45" s="7">
        <v>35</v>
      </c>
      <c r="B45" s="20"/>
      <c r="C45" s="20"/>
      <c r="D45" s="43"/>
      <c r="E45" s="47"/>
      <c r="F45" s="9" t="str">
        <f>IF(E45,DATEDIF(E45,Einstellungen!$B$7,"Y"),"")</f>
        <v/>
      </c>
      <c r="G45" s="43"/>
      <c r="H45" s="43"/>
      <c r="I45" s="43"/>
      <c r="J45" s="50"/>
      <c r="K45" s="43"/>
      <c r="L45" s="43"/>
      <c r="M45" s="43"/>
      <c r="N45" s="10" t="str">
        <f>IF(COUNTIF(G45:L45,"ja")+COUNT(G45:L45)=1,Einstellungen!$B$9,IF(COUNTIF(G45:L45,"ja")+COUNT(G45:L45)&gt;1,Einstellungen!$B$8,""))</f>
        <v/>
      </c>
      <c r="O45" s="20"/>
      <c r="P45" s="28"/>
    </row>
    <row r="46" spans="1:16" x14ac:dyDescent="0.2">
      <c r="A46" s="7">
        <v>36</v>
      </c>
      <c r="B46" s="22"/>
      <c r="C46" s="22"/>
      <c r="D46" s="44"/>
      <c r="E46" s="48"/>
      <c r="F46" s="9" t="str">
        <f>IF(E46,DATEDIF(E46,Einstellungen!$B$7,"Y"),"")</f>
        <v/>
      </c>
      <c r="G46" s="44"/>
      <c r="H46" s="44"/>
      <c r="I46" s="44"/>
      <c r="J46" s="40"/>
      <c r="K46" s="44"/>
      <c r="L46" s="44"/>
      <c r="M46" s="44"/>
      <c r="N46" s="10" t="str">
        <f>IF(COUNTIF(G46:L46,"ja")+COUNT(G46:L46)=1,Einstellungen!$B$9,IF(COUNTIF(G46:L46,"ja")+COUNT(G46:L46)&gt;1,Einstellungen!$B$8,""))</f>
        <v/>
      </c>
      <c r="O46" s="22"/>
      <c r="P46" s="27"/>
    </row>
    <row r="47" spans="1:16" x14ac:dyDescent="0.2">
      <c r="A47" s="7">
        <v>37</v>
      </c>
      <c r="B47" s="20"/>
      <c r="C47" s="20"/>
      <c r="D47" s="43"/>
      <c r="E47" s="47"/>
      <c r="F47" s="9" t="str">
        <f>IF(E47,DATEDIF(E47,Einstellungen!$B$7,"Y"),"")</f>
        <v/>
      </c>
      <c r="G47" s="43"/>
      <c r="H47" s="43"/>
      <c r="I47" s="43"/>
      <c r="J47" s="50"/>
      <c r="K47" s="43"/>
      <c r="L47" s="43"/>
      <c r="M47" s="43"/>
      <c r="N47" s="10" t="str">
        <f>IF(COUNTIF(G47:L47,"ja")+COUNT(G47:L47)=1,Einstellungen!$B$9,IF(COUNTIF(G47:L47,"ja")+COUNT(G47:L47)&gt;1,Einstellungen!$B$8,""))</f>
        <v/>
      </c>
      <c r="O47" s="20"/>
      <c r="P47" s="28"/>
    </row>
    <row r="48" spans="1:16" x14ac:dyDescent="0.2">
      <c r="A48" s="7">
        <v>38</v>
      </c>
      <c r="B48" s="22"/>
      <c r="C48" s="22"/>
      <c r="D48" s="44"/>
      <c r="E48" s="48"/>
      <c r="F48" s="9" t="str">
        <f>IF(E48,DATEDIF(E48,Einstellungen!$B$7,"Y"),"")</f>
        <v/>
      </c>
      <c r="G48" s="44"/>
      <c r="H48" s="44"/>
      <c r="I48" s="44"/>
      <c r="J48" s="40"/>
      <c r="K48" s="44"/>
      <c r="L48" s="44"/>
      <c r="M48" s="44"/>
      <c r="N48" s="10" t="str">
        <f>IF(COUNTIF(G48:L48,"ja")+COUNT(G48:L48)=1,Einstellungen!$B$9,IF(COUNTIF(G48:L48,"ja")+COUNT(G48:L48)&gt;1,Einstellungen!$B$8,""))</f>
        <v/>
      </c>
      <c r="O48" s="22"/>
      <c r="P48" s="27"/>
    </row>
    <row r="49" spans="1:16" x14ac:dyDescent="0.2">
      <c r="A49" s="7">
        <v>39</v>
      </c>
      <c r="B49" s="20"/>
      <c r="C49" s="20"/>
      <c r="D49" s="43"/>
      <c r="E49" s="47"/>
      <c r="F49" s="9" t="str">
        <f>IF(E49,DATEDIF(E49,Einstellungen!$B$7,"Y"),"")</f>
        <v/>
      </c>
      <c r="G49" s="43"/>
      <c r="H49" s="43"/>
      <c r="I49" s="43"/>
      <c r="J49" s="50"/>
      <c r="K49" s="43"/>
      <c r="L49" s="43"/>
      <c r="M49" s="43"/>
      <c r="N49" s="10" t="str">
        <f>IF(COUNTIF(G49:L49,"ja")+COUNT(G49:L49)=1,Einstellungen!$B$9,IF(COUNTIF(G49:L49,"ja")+COUNT(G49:L49)&gt;1,Einstellungen!$B$8,""))</f>
        <v/>
      </c>
      <c r="O49" s="20"/>
      <c r="P49" s="28"/>
    </row>
    <row r="50" spans="1:16" x14ac:dyDescent="0.2">
      <c r="A50" s="7">
        <v>40</v>
      </c>
      <c r="B50" s="22"/>
      <c r="C50" s="22"/>
      <c r="D50" s="44"/>
      <c r="E50" s="48"/>
      <c r="F50" s="9" t="str">
        <f>IF(E50,DATEDIF(E50,Einstellungen!$B$7,"Y"),"")</f>
        <v/>
      </c>
      <c r="G50" s="44"/>
      <c r="H50" s="44"/>
      <c r="I50" s="44"/>
      <c r="J50" s="40"/>
      <c r="K50" s="44"/>
      <c r="L50" s="44"/>
      <c r="M50" s="44"/>
      <c r="N50" s="10" t="str">
        <f>IF(COUNTIF(G50:L50,"ja")+COUNT(G50:L50)=1,Einstellungen!$B$9,IF(COUNTIF(G50:L50,"ja")+COUNT(G50:L50)&gt;1,Einstellungen!$B$8,""))</f>
        <v/>
      </c>
      <c r="O50" s="22"/>
      <c r="P50" s="27"/>
    </row>
    <row r="51" spans="1:16" x14ac:dyDescent="0.2">
      <c r="A51" s="7">
        <v>41</v>
      </c>
      <c r="B51" s="20"/>
      <c r="C51" s="20"/>
      <c r="D51" s="43"/>
      <c r="E51" s="47"/>
      <c r="F51" s="9" t="str">
        <f>IF(E51,DATEDIF(E51,Einstellungen!$B$7,"Y"),"")</f>
        <v/>
      </c>
      <c r="G51" s="43"/>
      <c r="H51" s="43"/>
      <c r="I51" s="43"/>
      <c r="J51" s="50"/>
      <c r="K51" s="43"/>
      <c r="L51" s="43"/>
      <c r="M51" s="43"/>
      <c r="N51" s="10" t="str">
        <f>IF(COUNTIF(G51:L51,"ja")+COUNT(G51:L51)=1,Einstellungen!$B$9,IF(COUNTIF(G51:L51,"ja")+COUNT(G51:L51)&gt;1,Einstellungen!$B$8,""))</f>
        <v/>
      </c>
      <c r="O51" s="20"/>
      <c r="P51" s="28"/>
    </row>
    <row r="52" spans="1:16" x14ac:dyDescent="0.2">
      <c r="A52" s="7">
        <v>42</v>
      </c>
      <c r="B52" s="22"/>
      <c r="C52" s="22"/>
      <c r="D52" s="44"/>
      <c r="E52" s="48"/>
      <c r="F52" s="9" t="str">
        <f>IF(E52,DATEDIF(E52,Einstellungen!$B$7,"Y"),"")</f>
        <v/>
      </c>
      <c r="G52" s="44"/>
      <c r="H52" s="44"/>
      <c r="I52" s="44"/>
      <c r="J52" s="40"/>
      <c r="K52" s="44"/>
      <c r="L52" s="44"/>
      <c r="M52" s="44"/>
      <c r="N52" s="10" t="str">
        <f>IF(COUNTIF(G52:L52,"ja")+COUNT(G52:L52)=1,Einstellungen!$B$9,IF(COUNTIF(G52:L52,"ja")+COUNT(G52:L52)&gt;1,Einstellungen!$B$8,""))</f>
        <v/>
      </c>
      <c r="O52" s="22"/>
      <c r="P52" s="27"/>
    </row>
    <row r="53" spans="1:16" x14ac:dyDescent="0.2">
      <c r="A53" s="7">
        <v>43</v>
      </c>
      <c r="B53" s="20"/>
      <c r="C53" s="20"/>
      <c r="D53" s="43"/>
      <c r="E53" s="47"/>
      <c r="F53" s="9" t="str">
        <f>IF(E53,DATEDIF(E53,Einstellungen!$B$7,"Y"),"")</f>
        <v/>
      </c>
      <c r="G53" s="43"/>
      <c r="H53" s="43"/>
      <c r="I53" s="43"/>
      <c r="J53" s="50"/>
      <c r="K53" s="43"/>
      <c r="L53" s="43"/>
      <c r="M53" s="43"/>
      <c r="N53" s="10" t="str">
        <f>IF(COUNTIF(G53:L53,"ja")+COUNT(G53:L53)=1,Einstellungen!$B$9,IF(COUNTIF(G53:L53,"ja")+COUNT(G53:L53)&gt;1,Einstellungen!$B$8,""))</f>
        <v/>
      </c>
      <c r="O53" s="20"/>
      <c r="P53" s="28"/>
    </row>
    <row r="54" spans="1:16" x14ac:dyDescent="0.2">
      <c r="A54" s="7">
        <v>44</v>
      </c>
      <c r="B54" s="22"/>
      <c r="C54" s="22"/>
      <c r="D54" s="44"/>
      <c r="E54" s="48"/>
      <c r="F54" s="9" t="str">
        <f>IF(E54,DATEDIF(E54,Einstellungen!$B$7,"Y"),"")</f>
        <v/>
      </c>
      <c r="G54" s="44"/>
      <c r="H54" s="44"/>
      <c r="I54" s="44"/>
      <c r="J54" s="40"/>
      <c r="K54" s="44"/>
      <c r="L54" s="44"/>
      <c r="M54" s="44"/>
      <c r="N54" s="10" t="str">
        <f>IF(COUNTIF(G54:L54,"ja")+COUNT(G54:L54)=1,Einstellungen!$B$9,IF(COUNTIF(G54:L54,"ja")+COUNT(G54:L54)&gt;1,Einstellungen!$B$8,""))</f>
        <v/>
      </c>
      <c r="O54" s="22"/>
      <c r="P54" s="27"/>
    </row>
    <row r="55" spans="1:16" x14ac:dyDescent="0.2">
      <c r="A55" s="7">
        <v>45</v>
      </c>
      <c r="B55" s="20"/>
      <c r="C55" s="20"/>
      <c r="D55" s="43"/>
      <c r="E55" s="47"/>
      <c r="F55" s="9" t="str">
        <f>IF(E55,DATEDIF(E55,Einstellungen!$B$7,"Y"),"")</f>
        <v/>
      </c>
      <c r="G55" s="43"/>
      <c r="H55" s="43"/>
      <c r="I55" s="43"/>
      <c r="J55" s="50"/>
      <c r="K55" s="43"/>
      <c r="L55" s="43"/>
      <c r="M55" s="43"/>
      <c r="N55" s="10" t="str">
        <f>IF(COUNTIF(G55:L55,"ja")+COUNT(G55:L55)=1,Einstellungen!$B$9,IF(COUNTIF(G55:L55,"ja")+COUNT(G55:L55)&gt;1,Einstellungen!$B$8,""))</f>
        <v/>
      </c>
      <c r="O55" s="20"/>
      <c r="P55" s="28"/>
    </row>
    <row r="56" spans="1:16" x14ac:dyDescent="0.2">
      <c r="A56" s="7">
        <v>46</v>
      </c>
      <c r="B56" s="22"/>
      <c r="C56" s="22"/>
      <c r="D56" s="44"/>
      <c r="E56" s="48"/>
      <c r="F56" s="9" t="str">
        <f>IF(E56,DATEDIF(E56,Einstellungen!$B$7,"Y"),"")</f>
        <v/>
      </c>
      <c r="G56" s="44"/>
      <c r="H56" s="44"/>
      <c r="I56" s="44"/>
      <c r="J56" s="40"/>
      <c r="K56" s="44"/>
      <c r="L56" s="44"/>
      <c r="M56" s="44"/>
      <c r="N56" s="10" t="str">
        <f>IF(COUNTIF(G56:L56,"ja")+COUNT(G56:L56)=1,Einstellungen!$B$9,IF(COUNTIF(G56:L56,"ja")+COUNT(G56:L56)&gt;1,Einstellungen!$B$8,""))</f>
        <v/>
      </c>
      <c r="O56" s="22"/>
      <c r="P56" s="27"/>
    </row>
    <row r="57" spans="1:16" x14ac:dyDescent="0.2">
      <c r="A57" s="7">
        <v>47</v>
      </c>
      <c r="B57" s="20"/>
      <c r="C57" s="20"/>
      <c r="D57" s="43"/>
      <c r="E57" s="47"/>
      <c r="F57" s="9" t="str">
        <f>IF(E57,DATEDIF(E57,Einstellungen!$B$7,"Y"),"")</f>
        <v/>
      </c>
      <c r="G57" s="43"/>
      <c r="H57" s="43"/>
      <c r="I57" s="43"/>
      <c r="J57" s="50"/>
      <c r="K57" s="43"/>
      <c r="L57" s="43"/>
      <c r="M57" s="43"/>
      <c r="N57" s="10" t="str">
        <f>IF(COUNTIF(G57:L57,"ja")+COUNT(G57:L57)=1,Einstellungen!$B$9,IF(COUNTIF(G57:L57,"ja")+COUNT(G57:L57)&gt;1,Einstellungen!$B$8,""))</f>
        <v/>
      </c>
      <c r="O57" s="20"/>
      <c r="P57" s="28"/>
    </row>
    <row r="58" spans="1:16" x14ac:dyDescent="0.2">
      <c r="A58" s="7">
        <v>48</v>
      </c>
      <c r="B58" s="22"/>
      <c r="C58" s="22"/>
      <c r="D58" s="44"/>
      <c r="E58" s="48"/>
      <c r="F58" s="9" t="str">
        <f>IF(E58,DATEDIF(E58,Einstellungen!$B$7,"Y"),"")</f>
        <v/>
      </c>
      <c r="G58" s="44"/>
      <c r="H58" s="44"/>
      <c r="I58" s="44"/>
      <c r="J58" s="40"/>
      <c r="K58" s="44"/>
      <c r="L58" s="44"/>
      <c r="M58" s="44"/>
      <c r="N58" s="10" t="str">
        <f>IF(COUNTIF(G58:L58,"ja")+COUNT(G58:L58)=1,Einstellungen!$B$9,IF(COUNTIF(G58:L58,"ja")+COUNT(G58:L58)&gt;1,Einstellungen!$B$8,""))</f>
        <v/>
      </c>
      <c r="O58" s="22"/>
      <c r="P58" s="27"/>
    </row>
    <row r="59" spans="1:16" x14ac:dyDescent="0.2">
      <c r="A59" s="7">
        <v>49</v>
      </c>
      <c r="B59" s="20"/>
      <c r="C59" s="20"/>
      <c r="D59" s="43"/>
      <c r="E59" s="47"/>
      <c r="F59" s="9" t="str">
        <f>IF(E59,DATEDIF(E59,Einstellungen!$B$7,"Y"),"")</f>
        <v/>
      </c>
      <c r="G59" s="43"/>
      <c r="H59" s="43"/>
      <c r="I59" s="43"/>
      <c r="J59" s="50"/>
      <c r="K59" s="43"/>
      <c r="L59" s="43"/>
      <c r="M59" s="43"/>
      <c r="N59" s="10" t="str">
        <f>IF(COUNTIF(G59:L59,"ja")+COUNT(G59:L59)=1,Einstellungen!$B$9,IF(COUNTIF(G59:L59,"ja")+COUNT(G59:L59)&gt;1,Einstellungen!$B$8,""))</f>
        <v/>
      </c>
      <c r="O59" s="20"/>
      <c r="P59" s="28"/>
    </row>
    <row r="60" spans="1:16" x14ac:dyDescent="0.2">
      <c r="A60" s="31">
        <v>50</v>
      </c>
      <c r="B60" s="32"/>
      <c r="C60" s="32"/>
      <c r="D60" s="45"/>
      <c r="E60" s="49"/>
      <c r="F60" s="12" t="str">
        <f>IF(E60,DATEDIF(E60,Einstellungen!$B$7,"Y"),"")</f>
        <v/>
      </c>
      <c r="G60" s="45"/>
      <c r="H60" s="45"/>
      <c r="I60" s="45"/>
      <c r="J60" s="51"/>
      <c r="K60" s="45"/>
      <c r="L60" s="45"/>
      <c r="M60" s="45"/>
      <c r="N60" s="10" t="str">
        <f>IF(COUNTIF(G60:L60,"ja")+COUNT(G60:L60)=1,Einstellungen!$B$9,IF(COUNTIF(G60:L60,"ja")+COUNT(G60:L60)&gt;1,Einstellungen!$B$8,""))</f>
        <v/>
      </c>
      <c r="O60" s="32"/>
      <c r="P60" s="33"/>
    </row>
  </sheetData>
  <sheetProtection algorithmName="SHA-512" hashValue="8nmYPS/ZFnJ/FjMMbn7knDrF7EtBeRsBJXpDVeoFT/qA6Srb8bbCUBEouX5/dczC02GQsEZU7otMPNQoOvL9qQ==" saltValue="tgFIYpKAOZe+iZXgZ55Egw==" spinCount="100000" sheet="1" selectLockedCells="1"/>
  <mergeCells count="6">
    <mergeCell ref="A6:B6"/>
    <mergeCell ref="A3:P4"/>
    <mergeCell ref="A1:P2"/>
    <mergeCell ref="C6:E6"/>
    <mergeCell ref="G7:H7"/>
    <mergeCell ref="I7:L7"/>
  </mergeCells>
  <conditionalFormatting sqref="G11:G60 I11:I60">
    <cfRule type="expression" dxfId="5" priority="7">
      <formula>COUNTIF($G11,"ja") + COUNTIF($I11,"ja") + ISNUMBER($G11) + ISNUMBER($I11) &gt; 1</formula>
    </cfRule>
  </conditionalFormatting>
  <conditionalFormatting sqref="H11:H60 J11:J60">
    <cfRule type="expression" dxfId="4" priority="6">
      <formula>AND(ISNUMBER($H11), ISNUMBER($J11))</formula>
    </cfRule>
  </conditionalFormatting>
  <conditionalFormatting sqref="H11:H60">
    <cfRule type="expression" dxfId="3" priority="8">
      <formula>COUNTIF($H$11:$H$60, H11)&gt;2</formula>
    </cfRule>
  </conditionalFormatting>
  <conditionalFormatting sqref="J11:J60">
    <cfRule type="expression" dxfId="2" priority="9">
      <formula>COUNTIF($J$11:$J$60, J11)&gt;2</formula>
    </cfRule>
  </conditionalFormatting>
  <conditionalFormatting sqref="K11:K60">
    <cfRule type="expression" dxfId="1" priority="10">
      <formula>COUNTIF($K$11:$K$60, K11)&gt;8</formula>
    </cfRule>
  </conditionalFormatting>
  <conditionalFormatting sqref="L11:L60">
    <cfRule type="expression" dxfId="0" priority="11">
      <formula>COUNTIF($L$11:$L$60, L11)&gt;24</formula>
    </cfRule>
  </conditionalFormatting>
  <dataValidations count="4">
    <dataValidation type="list" allowBlank="1" showInputMessage="1" showErrorMessage="1" sqref="D9:D60" xr:uid="{5538516F-295E-426C-8CFF-46D4EE4DCDEA}">
      <formula1>Geschlecht_Dropdown</formula1>
    </dataValidation>
    <dataValidation type="list" allowBlank="1" showInputMessage="1" showErrorMessage="1" sqref="G9:G60 I9:I60 M9:M60" xr:uid="{51B48C6A-E149-4972-B4F9-B496D059C2AA}">
      <formula1>ja_nein_dropdown</formula1>
    </dataValidation>
    <dataValidation type="list" allowBlank="1" showInputMessage="1" showErrorMessage="1" sqref="J11:J60 H9:H60" xr:uid="{79BCAE08-CE51-4AA6-BB52-DA4F776BFAF3}">
      <formula1>Paarkür_dropdown</formula1>
    </dataValidation>
    <dataValidation type="list" allowBlank="1" showInputMessage="1" showErrorMessage="1" sqref="K9:L60" xr:uid="{77079BBB-21C2-4377-A54C-E6B267B5E709}">
      <formula1>Kleingruppe_Großgruppe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F00A41-0964-4354-B512-1427F086834D}">
          <x14:formula1>
            <xm:f>Einstellungen!$B$16:$Z$16</xm:f>
          </x14:formula1>
          <xm:sqref>J9:J10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A877C-6E08-4E96-A6F7-96F0869196C4}">
  <dimension ref="A1:E27"/>
  <sheetViews>
    <sheetView zoomScale="140" zoomScaleNormal="140" workbookViewId="0">
      <selection activeCell="E8" sqref="E8"/>
    </sheetView>
  </sheetViews>
  <sheetFormatPr baseColWidth="10" defaultColWidth="0" defaultRowHeight="15" zeroHeight="1" x14ac:dyDescent="0.2"/>
  <cols>
    <col min="1" max="2" width="18.5" style="34" customWidth="1"/>
    <col min="3" max="3" width="6" style="34" customWidth="1"/>
    <col min="4" max="4" width="12.33203125" style="34" customWidth="1"/>
    <col min="5" max="5" width="45.5" style="30" customWidth="1"/>
    <col min="6" max="16384" width="11.5" hidden="1"/>
  </cols>
  <sheetData>
    <row r="1" spans="1:5" ht="15" customHeight="1" x14ac:dyDescent="0.2">
      <c r="A1" s="85" t="str">
        <f>Einstellungen!B5</f>
        <v>Württembergische Meisterschaft und Edelweiß Cup</v>
      </c>
      <c r="B1" s="85"/>
      <c r="C1" s="85"/>
      <c r="D1" s="85"/>
      <c r="E1" s="85"/>
    </row>
    <row r="2" spans="1:5" ht="15" customHeight="1" x14ac:dyDescent="0.2">
      <c r="A2" s="85"/>
      <c r="B2" s="85"/>
      <c r="C2" s="85"/>
      <c r="D2" s="85"/>
      <c r="E2" s="85"/>
    </row>
    <row r="3" spans="1:5" x14ac:dyDescent="0.2">
      <c r="A3" s="80">
        <f>Einstellungen!B6</f>
        <v>46151</v>
      </c>
      <c r="B3" s="81"/>
      <c r="C3" s="81"/>
      <c r="D3" s="81"/>
      <c r="E3" s="81"/>
    </row>
    <row r="4" spans="1:5" x14ac:dyDescent="0.2">
      <c r="A4" s="81"/>
      <c r="B4" s="81"/>
      <c r="C4" s="81"/>
      <c r="D4" s="81"/>
      <c r="E4" s="81"/>
    </row>
    <row r="5" spans="1:5" ht="19" x14ac:dyDescent="0.25">
      <c r="A5" s="58" t="s">
        <v>0</v>
      </c>
      <c r="B5" s="90">
        <f>'Allgemeine Informationen'!C6</f>
        <v>0</v>
      </c>
      <c r="C5" s="90"/>
      <c r="D5" s="90"/>
      <c r="E5" s="11" t="s">
        <v>107</v>
      </c>
    </row>
    <row r="6" spans="1:5" x14ac:dyDescent="0.2">
      <c r="A6" s="4"/>
      <c r="B6" s="4"/>
      <c r="C6" s="4"/>
      <c r="D6" s="4"/>
      <c r="E6" s="3"/>
    </row>
    <row r="7" spans="1:5" s="62" customFormat="1" x14ac:dyDescent="0.2">
      <c r="A7" s="60" t="s">
        <v>18</v>
      </c>
      <c r="B7" s="60" t="s">
        <v>43</v>
      </c>
      <c r="C7" s="60" t="s">
        <v>21</v>
      </c>
      <c r="D7" s="60" t="s">
        <v>44</v>
      </c>
      <c r="E7" s="61" t="s">
        <v>47</v>
      </c>
    </row>
    <row r="8" spans="1:5" x14ac:dyDescent="0.2">
      <c r="A8" s="7" t="str" cm="1">
        <f t="array" ref="A8">_xlfn._xlws.FILTER(Meldeformular_Namen,Meldeformular!G11:G60="ja","")</f>
        <v/>
      </c>
      <c r="B8" s="7"/>
      <c r="C8" s="7" t="str" cm="1">
        <f t="array" ref="C8">_xlfn._xlws.FILTER(Meldeformular!F11:F60,Meldeformular!G11:G60="ja","")</f>
        <v/>
      </c>
      <c r="D8" s="7" t="str">
        <f>IF(ISNUMBER(C8),_xlfn.XLOOKUP(C8,Altersklasse_Cup_Alter,Altersklasse_Cup_Kategorie,"",-1),"")</f>
        <v/>
      </c>
      <c r="E8" s="20"/>
    </row>
    <row r="9" spans="1:5" x14ac:dyDescent="0.2">
      <c r="A9" s="7"/>
      <c r="B9" s="7"/>
      <c r="C9" s="7"/>
      <c r="D9" s="7" t="str">
        <f t="shared" ref="D9:D27" si="0">IF(ISNUMBER(C9),_xlfn.XLOOKUP(C9,Altersklasse_Cup_Alter,Altersklasse_Cup_Kategorie,"",-1),"")</f>
        <v/>
      </c>
      <c r="E9" s="22"/>
    </row>
    <row r="10" spans="1:5" x14ac:dyDescent="0.2">
      <c r="A10" s="7"/>
      <c r="B10" s="7"/>
      <c r="C10" s="7"/>
      <c r="D10" s="7" t="str">
        <f t="shared" si="0"/>
        <v/>
      </c>
      <c r="E10" s="20"/>
    </row>
    <row r="11" spans="1:5" x14ac:dyDescent="0.2">
      <c r="A11" s="7"/>
      <c r="B11" s="7"/>
      <c r="C11" s="7"/>
      <c r="D11" s="7" t="str">
        <f t="shared" si="0"/>
        <v/>
      </c>
      <c r="E11" s="22"/>
    </row>
    <row r="12" spans="1:5" x14ac:dyDescent="0.2">
      <c r="A12" s="7"/>
      <c r="B12" s="7"/>
      <c r="C12" s="7"/>
      <c r="D12" s="7" t="str">
        <f t="shared" si="0"/>
        <v/>
      </c>
      <c r="E12" s="20"/>
    </row>
    <row r="13" spans="1:5" x14ac:dyDescent="0.2">
      <c r="A13" s="7"/>
      <c r="B13" s="7"/>
      <c r="C13" s="7"/>
      <c r="D13" s="7" t="str">
        <f t="shared" si="0"/>
        <v/>
      </c>
      <c r="E13" s="22"/>
    </row>
    <row r="14" spans="1:5" x14ac:dyDescent="0.2">
      <c r="A14" s="7"/>
      <c r="B14" s="7"/>
      <c r="C14" s="7"/>
      <c r="D14" s="7" t="str">
        <f t="shared" si="0"/>
        <v/>
      </c>
      <c r="E14" s="20"/>
    </row>
    <row r="15" spans="1:5" x14ac:dyDescent="0.2">
      <c r="A15" s="7"/>
      <c r="B15" s="7"/>
      <c r="C15" s="7"/>
      <c r="D15" s="7" t="str">
        <f t="shared" si="0"/>
        <v/>
      </c>
      <c r="E15" s="22"/>
    </row>
    <row r="16" spans="1:5" x14ac:dyDescent="0.2">
      <c r="A16" s="7"/>
      <c r="B16" s="7"/>
      <c r="C16" s="7"/>
      <c r="D16" s="7" t="str">
        <f t="shared" si="0"/>
        <v/>
      </c>
      <c r="E16" s="20"/>
    </row>
    <row r="17" spans="1:5" x14ac:dyDescent="0.2">
      <c r="A17" s="7"/>
      <c r="B17" s="7"/>
      <c r="C17" s="7"/>
      <c r="D17" s="7" t="str">
        <f t="shared" si="0"/>
        <v/>
      </c>
      <c r="E17" s="22"/>
    </row>
    <row r="18" spans="1:5" x14ac:dyDescent="0.2">
      <c r="A18" s="7"/>
      <c r="B18" s="7"/>
      <c r="C18" s="7"/>
      <c r="D18" s="7" t="str">
        <f t="shared" si="0"/>
        <v/>
      </c>
      <c r="E18" s="20"/>
    </row>
    <row r="19" spans="1:5" x14ac:dyDescent="0.2">
      <c r="A19" s="7"/>
      <c r="B19" s="7"/>
      <c r="C19" s="7"/>
      <c r="D19" s="7" t="str">
        <f t="shared" si="0"/>
        <v/>
      </c>
      <c r="E19" s="22"/>
    </row>
    <row r="20" spans="1:5" x14ac:dyDescent="0.2">
      <c r="A20" s="7"/>
      <c r="B20" s="7"/>
      <c r="C20" s="7"/>
      <c r="D20" s="7" t="str">
        <f t="shared" si="0"/>
        <v/>
      </c>
      <c r="E20" s="20"/>
    </row>
    <row r="21" spans="1:5" x14ac:dyDescent="0.2">
      <c r="A21" s="7"/>
      <c r="B21" s="7"/>
      <c r="C21" s="7"/>
      <c r="D21" s="7" t="str">
        <f t="shared" si="0"/>
        <v/>
      </c>
      <c r="E21" s="22"/>
    </row>
    <row r="22" spans="1:5" x14ac:dyDescent="0.2">
      <c r="A22" s="7"/>
      <c r="B22" s="7"/>
      <c r="C22" s="7"/>
      <c r="D22" s="7" t="str">
        <f t="shared" si="0"/>
        <v/>
      </c>
      <c r="E22" s="20"/>
    </row>
    <row r="23" spans="1:5" x14ac:dyDescent="0.2">
      <c r="A23" s="7"/>
      <c r="B23" s="7"/>
      <c r="C23" s="7"/>
      <c r="D23" s="7" t="str">
        <f t="shared" si="0"/>
        <v/>
      </c>
      <c r="E23" s="22"/>
    </row>
    <row r="24" spans="1:5" x14ac:dyDescent="0.2">
      <c r="A24" s="7"/>
      <c r="B24" s="7"/>
      <c r="C24" s="7"/>
      <c r="D24" s="7" t="str">
        <f t="shared" si="0"/>
        <v/>
      </c>
      <c r="E24" s="20"/>
    </row>
    <row r="25" spans="1:5" x14ac:dyDescent="0.2">
      <c r="A25" s="7"/>
      <c r="B25" s="7"/>
      <c r="C25" s="7"/>
      <c r="D25" s="7" t="str">
        <f t="shared" si="0"/>
        <v/>
      </c>
      <c r="E25" s="22"/>
    </row>
    <row r="26" spans="1:5" x14ac:dyDescent="0.2">
      <c r="A26" s="7"/>
      <c r="B26" s="7"/>
      <c r="C26" s="7"/>
      <c r="D26" s="7" t="str">
        <f t="shared" si="0"/>
        <v/>
      </c>
      <c r="E26" s="20"/>
    </row>
    <row r="27" spans="1:5" x14ac:dyDescent="0.2">
      <c r="A27" s="31"/>
      <c r="B27" s="31"/>
      <c r="C27" s="31"/>
      <c r="D27" s="31" t="str">
        <f t="shared" si="0"/>
        <v/>
      </c>
      <c r="E27" s="32"/>
    </row>
  </sheetData>
  <sheetProtection algorithmName="SHA-512" hashValue="stXxKiaAaYO7IJ5UdIXSojwnfvE+n0Xc7lIn4bxqvGVz2ITfC9cYxxuP2Lxo95t0euMjAVWj1LvC1QOtAhWyKw==" saltValue="Lsas0GRRm4OJbDS/c5FNEg==" spinCount="100000" sheet="1" selectLockedCells="1"/>
  <mergeCells count="3">
    <mergeCell ref="A1:E2"/>
    <mergeCell ref="A3:E4"/>
    <mergeCell ref="B5:D5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AE1DF-AF6C-45FC-A068-B1F872F7E0A6}">
  <sheetPr>
    <pageSetUpPr autoPageBreaks="0"/>
  </sheetPr>
  <dimension ref="A1:J57"/>
  <sheetViews>
    <sheetView zoomScale="140" zoomScaleNormal="140" workbookViewId="0">
      <selection activeCell="B8" sqref="B8:D8"/>
    </sheetView>
  </sheetViews>
  <sheetFormatPr baseColWidth="10" defaultColWidth="0" defaultRowHeight="15" zeroHeight="1" x14ac:dyDescent="0.2"/>
  <cols>
    <col min="1" max="1" width="14.33203125" customWidth="1"/>
    <col min="2" max="5" width="11.5" customWidth="1"/>
    <col min="6" max="6" width="14.33203125" customWidth="1"/>
    <col min="7" max="9" width="11.5" customWidth="1"/>
    <col min="10" max="10" width="11.5" style="2" customWidth="1"/>
    <col min="11" max="16384" width="11.5" hidden="1"/>
  </cols>
  <sheetData>
    <row r="1" spans="1:10" ht="15" customHeight="1" x14ac:dyDescent="0.2">
      <c r="A1" s="85" t="str">
        <f>Einstellungen!B5</f>
        <v>Württembergische Meisterschaft und Edelweiß Cup</v>
      </c>
      <c r="B1" s="85"/>
      <c r="C1" s="85"/>
      <c r="D1" s="85"/>
      <c r="E1" s="85"/>
      <c r="F1" s="85"/>
      <c r="G1" s="85"/>
      <c r="H1" s="85"/>
      <c r="I1" s="85"/>
      <c r="J1" s="85"/>
    </row>
    <row r="2" spans="1:10" ht="15" customHeight="1" x14ac:dyDescent="0.2">
      <c r="A2" s="85"/>
      <c r="B2" s="85"/>
      <c r="C2" s="85"/>
      <c r="D2" s="85"/>
      <c r="E2" s="85"/>
      <c r="F2" s="85"/>
      <c r="G2" s="85"/>
      <c r="H2" s="85"/>
      <c r="I2" s="85"/>
      <c r="J2" s="85"/>
    </row>
    <row r="3" spans="1:10" x14ac:dyDescent="0.2">
      <c r="A3" s="80">
        <f>Einstellungen!B6</f>
        <v>46151</v>
      </c>
      <c r="B3" s="81"/>
      <c r="C3" s="81"/>
      <c r="D3" s="81"/>
      <c r="E3" s="81"/>
      <c r="F3" s="81"/>
      <c r="G3" s="81"/>
      <c r="H3" s="81"/>
      <c r="I3" s="81"/>
      <c r="J3" s="81"/>
    </row>
    <row r="4" spans="1:10" x14ac:dyDescent="0.2">
      <c r="A4" s="81"/>
      <c r="B4" s="81"/>
      <c r="C4" s="81"/>
      <c r="D4" s="81"/>
      <c r="E4" s="81"/>
      <c r="F4" s="81"/>
      <c r="G4" s="81"/>
      <c r="H4" s="81"/>
      <c r="I4" s="81"/>
      <c r="J4" s="81"/>
    </row>
    <row r="5" spans="1:10" ht="19" x14ac:dyDescent="0.2">
      <c r="A5" s="52" t="s">
        <v>0</v>
      </c>
      <c r="B5" s="86">
        <f>'Allgemeine Informationen'!C6</f>
        <v>0</v>
      </c>
      <c r="C5" s="86"/>
      <c r="D5" s="86"/>
      <c r="E5" s="91" t="s">
        <v>108</v>
      </c>
      <c r="F5" s="91"/>
      <c r="G5" s="91"/>
      <c r="H5" s="91"/>
      <c r="I5" s="91"/>
      <c r="J5" s="91"/>
    </row>
    <row r="6" spans="1:10" x14ac:dyDescent="0.2">
      <c r="A6" s="4"/>
      <c r="B6" s="2"/>
      <c r="C6" s="2"/>
      <c r="D6" s="2"/>
      <c r="E6" s="2"/>
      <c r="G6" s="92"/>
      <c r="H6" s="92"/>
      <c r="I6" s="92"/>
      <c r="J6"/>
    </row>
    <row r="7" spans="1:10" x14ac:dyDescent="0.2">
      <c r="A7" s="2"/>
      <c r="B7" s="2"/>
      <c r="C7" s="2"/>
      <c r="D7" s="2"/>
      <c r="E7" s="2"/>
      <c r="F7" s="2"/>
      <c r="G7" s="2"/>
      <c r="H7" s="2"/>
      <c r="I7" s="2"/>
    </row>
    <row r="8" spans="1:10" x14ac:dyDescent="0.2">
      <c r="A8" s="8" t="str">
        <f>"Paarkür 1: " &amp; IF(D11,_xlfn.XLOOKUP(MAX(D10,D11),Altersklasse_Cup_Alter,Altersklasse_Cup_Kategorie,"",-1),"")</f>
        <v xml:space="preserve">Paarkür 1: </v>
      </c>
      <c r="B8" s="93" t="s">
        <v>66</v>
      </c>
      <c r="C8" s="94"/>
      <c r="D8" s="95"/>
      <c r="E8" s="2"/>
      <c r="F8" s="8" t="str">
        <f>"Paarkür 2: " &amp; IF(I11,_xlfn.XLOOKUP(MAX(I10,I11),Altersklasse_Cup_Alter,Altersklasse_Cup_Kategorie,"",-1),"")</f>
        <v xml:space="preserve">Paarkür 2: </v>
      </c>
      <c r="G8" s="93" t="s">
        <v>66</v>
      </c>
      <c r="H8" s="94"/>
      <c r="I8" s="95"/>
    </row>
    <row r="9" spans="1:10" x14ac:dyDescent="0.2">
      <c r="A9" s="59" t="s">
        <v>33</v>
      </c>
      <c r="B9" s="59" t="s">
        <v>34</v>
      </c>
      <c r="C9" s="59" t="s">
        <v>18</v>
      </c>
      <c r="D9" s="59" t="s">
        <v>21</v>
      </c>
      <c r="E9" s="2"/>
      <c r="F9" s="59" t="s">
        <v>33</v>
      </c>
      <c r="G9" s="59" t="s">
        <v>34</v>
      </c>
      <c r="H9" s="59" t="s">
        <v>18</v>
      </c>
      <c r="I9" s="59" t="s">
        <v>21</v>
      </c>
    </row>
    <row r="10" spans="1:10" x14ac:dyDescent="0.2">
      <c r="A10" s="9">
        <v>1</v>
      </c>
      <c r="B10" s="9" t="str" cm="1">
        <f t="array" ref="B10">_xlfn._xlws.FILTER(Meldeformular_Namen,Meldeformular!$H$11:$H$60=1,"")</f>
        <v/>
      </c>
      <c r="C10" s="9"/>
      <c r="D10" s="9" t="str" cm="1">
        <f t="array" ref="D10">_xlfn._xlws.FILTER(Meldeformular!$F$11:$F$60,Meldeformular!$H$11:$H$60=1,"")</f>
        <v/>
      </c>
      <c r="E10" s="2"/>
      <c r="F10" s="9">
        <v>1</v>
      </c>
      <c r="G10" s="9" t="str" cm="1">
        <f t="array" ref="G10">_xlfn._xlws.FILTER(Meldeformular_Namen,Meldeformular!$H$11:$H$60=2,"")</f>
        <v/>
      </c>
      <c r="H10" s="9"/>
      <c r="I10" s="9" t="str" cm="1">
        <f t="array" ref="I10">_xlfn._xlws.FILTER(Meldeformular!$F$11:$F$60,Meldeformular!$H$11:$H$60=2,"")</f>
        <v/>
      </c>
    </row>
    <row r="11" spans="1:10" x14ac:dyDescent="0.2">
      <c r="A11" s="9">
        <v>2</v>
      </c>
      <c r="B11" s="9"/>
      <c r="C11" s="9"/>
      <c r="D11" s="9"/>
      <c r="E11" s="2"/>
      <c r="F11" s="9">
        <v>2</v>
      </c>
      <c r="G11" s="9"/>
      <c r="H11" s="9"/>
      <c r="I11" s="9"/>
    </row>
    <row r="12" spans="1:10" x14ac:dyDescent="0.2">
      <c r="A12" s="2"/>
      <c r="B12" s="2"/>
      <c r="C12" s="2"/>
      <c r="D12" s="2"/>
      <c r="E12" s="2"/>
      <c r="F12" s="2"/>
      <c r="G12" s="92"/>
      <c r="H12" s="92"/>
      <c r="I12" s="92"/>
    </row>
    <row r="13" spans="1:10" x14ac:dyDescent="0.2">
      <c r="A13" s="8" t="str">
        <f>"Paarkür 3: " &amp; IF(D16,_xlfn.XLOOKUP(MAX(D15,D16),Altersklasse_Cup_Alter,Altersklasse_Cup_Kategorie,"",-1),"")</f>
        <v xml:space="preserve">Paarkür 3: </v>
      </c>
      <c r="B13" s="93" t="s">
        <v>66</v>
      </c>
      <c r="C13" s="94"/>
      <c r="D13" s="95"/>
      <c r="E13" s="2"/>
      <c r="F13" s="8" t="str">
        <f>"Paarkür 4: " &amp; IF(I16,_xlfn.XLOOKUP(MAX(I15,I16),Altersklasse_Cup_Alter,Altersklasse_Cup_Kategorie,"",-1),"")</f>
        <v xml:space="preserve">Paarkür 4: </v>
      </c>
      <c r="G13" s="93" t="s">
        <v>66</v>
      </c>
      <c r="H13" s="94"/>
      <c r="I13" s="95"/>
    </row>
    <row r="14" spans="1:10" x14ac:dyDescent="0.2">
      <c r="A14" s="59" t="s">
        <v>33</v>
      </c>
      <c r="B14" s="59" t="s">
        <v>34</v>
      </c>
      <c r="C14" s="59" t="s">
        <v>18</v>
      </c>
      <c r="D14" s="59" t="s">
        <v>21</v>
      </c>
      <c r="E14" s="2"/>
      <c r="F14" s="59" t="s">
        <v>33</v>
      </c>
      <c r="G14" s="59" t="s">
        <v>34</v>
      </c>
      <c r="H14" s="59" t="s">
        <v>18</v>
      </c>
      <c r="I14" s="59" t="s">
        <v>21</v>
      </c>
    </row>
    <row r="15" spans="1:10" x14ac:dyDescent="0.2">
      <c r="A15" s="9">
        <v>1</v>
      </c>
      <c r="B15" s="9" t="str" cm="1">
        <f t="array" ref="B15">_xlfn._xlws.FILTER(Meldeformular_Namen,Meldeformular!$H$11:$H$60=3,"")</f>
        <v/>
      </c>
      <c r="C15" s="9"/>
      <c r="D15" s="9" t="str" cm="1">
        <f t="array" ref="D15">_xlfn._xlws.FILTER(Meldeformular!$F$11:$F$60,Meldeformular!$H$11:$H$60=3,"")</f>
        <v/>
      </c>
      <c r="E15" s="2"/>
      <c r="F15" s="9">
        <v>1</v>
      </c>
      <c r="G15" s="9" t="str" cm="1">
        <f t="array" ref="G15">_xlfn._xlws.FILTER(Meldeformular_Namen,Meldeformular!$H$11:$H$60=4,"")</f>
        <v/>
      </c>
      <c r="H15" s="9"/>
      <c r="I15" s="9" t="str" cm="1">
        <f t="array" ref="I15">_xlfn._xlws.FILTER(Meldeformular!$F$11:$F$60,Meldeformular!$H$11:$H$60=4,"")</f>
        <v/>
      </c>
    </row>
    <row r="16" spans="1:10" x14ac:dyDescent="0.2">
      <c r="A16" s="9">
        <v>2</v>
      </c>
      <c r="B16" s="9"/>
      <c r="C16" s="9"/>
      <c r="D16" s="9"/>
      <c r="E16" s="2"/>
      <c r="F16" s="9">
        <v>2</v>
      </c>
      <c r="G16" s="9"/>
      <c r="H16" s="9"/>
      <c r="I16" s="9"/>
    </row>
    <row r="17" spans="1:9" x14ac:dyDescent="0.2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">
      <c r="A18" s="8" t="str">
        <f>"Paarkür 5: " &amp; IF(D21,_xlfn.XLOOKUP(MAX(D20,D21),Altersklasse_Cup_Alter,Altersklasse_Cup_Kategorie,"",-1),"")</f>
        <v xml:space="preserve">Paarkür 5: </v>
      </c>
      <c r="B18" s="93" t="s">
        <v>66</v>
      </c>
      <c r="C18" s="94"/>
      <c r="D18" s="95"/>
      <c r="E18" s="2"/>
      <c r="F18" s="8" t="str">
        <f>"Paarkür 6: " &amp; IF(I21,_xlfn.XLOOKUP(MAX(I20,I21),Altersklasse_Cup_Alter,Altersklasse_Cup_Kategorie,"",-1),"")</f>
        <v xml:space="preserve">Paarkür 6: </v>
      </c>
      <c r="G18" s="93" t="s">
        <v>66</v>
      </c>
      <c r="H18" s="94"/>
      <c r="I18" s="95"/>
    </row>
    <row r="19" spans="1:9" x14ac:dyDescent="0.2">
      <c r="A19" s="59" t="s">
        <v>33</v>
      </c>
      <c r="B19" s="59" t="s">
        <v>34</v>
      </c>
      <c r="C19" s="59" t="s">
        <v>18</v>
      </c>
      <c r="D19" s="59" t="s">
        <v>21</v>
      </c>
      <c r="E19" s="2"/>
      <c r="F19" s="59" t="s">
        <v>33</v>
      </c>
      <c r="G19" s="59" t="s">
        <v>34</v>
      </c>
      <c r="H19" s="59" t="s">
        <v>18</v>
      </c>
      <c r="I19" s="59" t="s">
        <v>21</v>
      </c>
    </row>
    <row r="20" spans="1:9" x14ac:dyDescent="0.2">
      <c r="A20" s="9">
        <v>1</v>
      </c>
      <c r="B20" s="9" t="str" cm="1">
        <f t="array" ref="B20">_xlfn._xlws.FILTER(Meldeformular_Namen,Meldeformular!$H$11:$H$60=5,"")</f>
        <v/>
      </c>
      <c r="C20" s="9"/>
      <c r="D20" s="9" t="str" cm="1">
        <f t="array" ref="D20">_xlfn._xlws.FILTER(Meldeformular!$F$11:$F$60,Meldeformular!$H$11:$H$60=5,"")</f>
        <v/>
      </c>
      <c r="E20" s="2"/>
      <c r="F20" s="9">
        <v>1</v>
      </c>
      <c r="G20" s="9" t="str" cm="1">
        <f t="array" ref="G20">_xlfn._xlws.FILTER(Meldeformular_Namen,Meldeformular!$H$11:$H$60=6,"")</f>
        <v/>
      </c>
      <c r="H20" s="9"/>
      <c r="I20" s="9" t="str" cm="1">
        <f t="array" ref="I20">_xlfn._xlws.FILTER(Meldeformular!$F$11:$F$60,Meldeformular!$H$11:$H$60=6,"")</f>
        <v/>
      </c>
    </row>
    <row r="21" spans="1:9" x14ac:dyDescent="0.2">
      <c r="A21" s="9">
        <v>2</v>
      </c>
      <c r="B21" s="9"/>
      <c r="C21" s="9"/>
      <c r="D21" s="9"/>
      <c r="E21" s="2"/>
      <c r="F21" s="9">
        <v>2</v>
      </c>
      <c r="G21" s="9"/>
      <c r="H21" s="9"/>
      <c r="I21" s="9"/>
    </row>
    <row r="22" spans="1:9" x14ac:dyDescent="0.2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2">
      <c r="A23" s="8" t="str">
        <f>"Paarkür 7: " &amp; IF(D26,_xlfn.XLOOKUP(MAX(D25,D26),Altersklasse_Cup_Alter,Altersklasse_Cup_Kategorie,"",-1),"")</f>
        <v xml:space="preserve">Paarkür 7: </v>
      </c>
      <c r="B23" s="93" t="s">
        <v>66</v>
      </c>
      <c r="C23" s="94"/>
      <c r="D23" s="95"/>
      <c r="E23" s="2"/>
      <c r="F23" s="8" t="str">
        <f>"Paarkür 8: " &amp; IF(I26,_xlfn.XLOOKUP(MAX(I25,I26),Altersklasse_Cup_Alter,Altersklasse_Cup_Kategorie,"",-1),"")</f>
        <v xml:space="preserve">Paarkür 8: </v>
      </c>
      <c r="G23" s="93" t="s">
        <v>66</v>
      </c>
      <c r="H23" s="94"/>
      <c r="I23" s="95"/>
    </row>
    <row r="24" spans="1:9" x14ac:dyDescent="0.2">
      <c r="A24" s="59" t="s">
        <v>33</v>
      </c>
      <c r="B24" s="59" t="s">
        <v>34</v>
      </c>
      <c r="C24" s="59" t="s">
        <v>18</v>
      </c>
      <c r="D24" s="59" t="s">
        <v>21</v>
      </c>
      <c r="E24" s="2"/>
      <c r="F24" s="59" t="s">
        <v>33</v>
      </c>
      <c r="G24" s="59" t="s">
        <v>34</v>
      </c>
      <c r="H24" s="59" t="s">
        <v>18</v>
      </c>
      <c r="I24" s="59" t="s">
        <v>21</v>
      </c>
    </row>
    <row r="25" spans="1:9" x14ac:dyDescent="0.2">
      <c r="A25" s="9">
        <v>1</v>
      </c>
      <c r="B25" s="9" t="str" cm="1">
        <f t="array" ref="B25">_xlfn._xlws.FILTER(Meldeformular_Namen,Meldeformular!$H$11:$H$60=7,"")</f>
        <v/>
      </c>
      <c r="C25" s="9"/>
      <c r="D25" s="9" t="str" cm="1">
        <f t="array" ref="D25">_xlfn._xlws.FILTER(Meldeformular!$F$11:$F$60,Meldeformular!$H$11:$H$60=7,"")</f>
        <v/>
      </c>
      <c r="E25" s="2"/>
      <c r="F25" s="9">
        <v>1</v>
      </c>
      <c r="G25" s="9" t="str" cm="1">
        <f t="array" ref="G25">_xlfn._xlws.FILTER(Meldeformular_Namen,Meldeformular!$H$11:$H$60=8,"")</f>
        <v/>
      </c>
      <c r="H25" s="9"/>
      <c r="I25" s="9" t="str" cm="1">
        <f t="array" ref="I25">_xlfn._xlws.FILTER(Meldeformular!$F$11:$F$60,Meldeformular!$H$11:$H$60=8,"")</f>
        <v/>
      </c>
    </row>
    <row r="26" spans="1:9" x14ac:dyDescent="0.2">
      <c r="A26" s="9">
        <v>2</v>
      </c>
      <c r="B26" s="9"/>
      <c r="C26" s="9"/>
      <c r="D26" s="9"/>
      <c r="E26" s="2"/>
      <c r="F26" s="9">
        <v>2</v>
      </c>
      <c r="G26" s="9"/>
      <c r="H26" s="9"/>
      <c r="I26" s="9"/>
    </row>
    <row r="27" spans="1:9" x14ac:dyDescent="0.2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">
      <c r="A28" s="8" t="str">
        <f>"Paarkür 9: " &amp; IF(D31,_xlfn.XLOOKUP(MAX(D30,D31),Altersklasse_Cup_Alter,Altersklasse_Cup_Kategorie,"",-1),"")</f>
        <v xml:space="preserve">Paarkür 9: </v>
      </c>
      <c r="B28" s="93" t="s">
        <v>66</v>
      </c>
      <c r="C28" s="94"/>
      <c r="D28" s="95"/>
      <c r="E28" s="2"/>
      <c r="F28" s="8" t="str">
        <f>"Paarkür 10: " &amp; IF(I31,_xlfn.XLOOKUP(MAX(I30,I31),Altersklasse_Cup_Alter,Altersklasse_Cup_Kategorie,"",-1),"")</f>
        <v xml:space="preserve">Paarkür 10: </v>
      </c>
      <c r="G28" s="93" t="s">
        <v>66</v>
      </c>
      <c r="H28" s="94"/>
      <c r="I28" s="95"/>
    </row>
    <row r="29" spans="1:9" x14ac:dyDescent="0.2">
      <c r="A29" s="59" t="s">
        <v>33</v>
      </c>
      <c r="B29" s="59" t="s">
        <v>34</v>
      </c>
      <c r="C29" s="59" t="s">
        <v>18</v>
      </c>
      <c r="D29" s="59" t="s">
        <v>21</v>
      </c>
      <c r="E29" s="2"/>
      <c r="F29" s="59" t="s">
        <v>33</v>
      </c>
      <c r="G29" s="59" t="s">
        <v>34</v>
      </c>
      <c r="H29" s="59" t="s">
        <v>18</v>
      </c>
      <c r="I29" s="59" t="s">
        <v>21</v>
      </c>
    </row>
    <row r="30" spans="1:9" x14ac:dyDescent="0.2">
      <c r="A30" s="9">
        <v>1</v>
      </c>
      <c r="B30" s="9" t="str" cm="1">
        <f t="array" ref="B30">_xlfn._xlws.FILTER(Meldeformular_Namen,Meldeformular!$H$11:$H$60=9,"")</f>
        <v/>
      </c>
      <c r="C30" s="9"/>
      <c r="D30" s="9" t="str" cm="1">
        <f t="array" ref="D30">_xlfn._xlws.FILTER(Meldeformular!$F$11:$F$60,Meldeformular!$H$11:$H$60=9,"")</f>
        <v/>
      </c>
      <c r="E30" s="2"/>
      <c r="F30" s="9">
        <v>1</v>
      </c>
      <c r="G30" s="9" t="str" cm="1">
        <f t="array" ref="G30">_xlfn._xlws.FILTER(Meldeformular_Namen,Meldeformular!$H$11:$H$60=10,"")</f>
        <v/>
      </c>
      <c r="H30" s="9"/>
      <c r="I30" s="9" t="str" cm="1">
        <f t="array" ref="I30">_xlfn._xlws.FILTER(Meldeformular!$F$11:$F$60,Meldeformular!$H$11:$H$60=10,"")</f>
        <v/>
      </c>
    </row>
    <row r="31" spans="1:9" x14ac:dyDescent="0.2">
      <c r="A31" s="9">
        <v>2</v>
      </c>
      <c r="B31" s="9"/>
      <c r="C31" s="9"/>
      <c r="D31" s="9"/>
      <c r="E31" s="2"/>
      <c r="F31" s="9">
        <v>2</v>
      </c>
      <c r="G31" s="9"/>
      <c r="H31" s="9"/>
      <c r="I31" s="9"/>
    </row>
    <row r="32" spans="1:9" x14ac:dyDescent="0.2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2">
      <c r="A33" s="8" t="str">
        <f>"Paarkür 11: " &amp; IF(D36,_xlfn.XLOOKUP(MAX(D35,D36),Altersklasse_Cup_Alter,Altersklasse_Cup_Kategorie,"",-1),"")</f>
        <v xml:space="preserve">Paarkür 11: </v>
      </c>
      <c r="B33" s="93" t="s">
        <v>66</v>
      </c>
      <c r="C33" s="94"/>
      <c r="D33" s="95"/>
      <c r="E33" s="2"/>
      <c r="F33" s="8" t="str">
        <f>"Paarkür 12: " &amp; IF(I36,_xlfn.XLOOKUP(MAX(I35,I36),Altersklasse_Cup_Alter,Altersklasse_Cup_Kategorie,"",-1),"")</f>
        <v xml:space="preserve">Paarkür 12: </v>
      </c>
      <c r="G33" s="93" t="s">
        <v>66</v>
      </c>
      <c r="H33" s="94"/>
      <c r="I33" s="95"/>
    </row>
    <row r="34" spans="1:9" x14ac:dyDescent="0.2">
      <c r="A34" s="59" t="s">
        <v>33</v>
      </c>
      <c r="B34" s="59" t="s">
        <v>34</v>
      </c>
      <c r="C34" s="59" t="s">
        <v>18</v>
      </c>
      <c r="D34" s="59" t="s">
        <v>21</v>
      </c>
      <c r="E34" s="2"/>
      <c r="F34" s="59" t="s">
        <v>33</v>
      </c>
      <c r="G34" s="59" t="s">
        <v>34</v>
      </c>
      <c r="H34" s="59" t="s">
        <v>18</v>
      </c>
      <c r="I34" s="59" t="s">
        <v>21</v>
      </c>
    </row>
    <row r="35" spans="1:9" x14ac:dyDescent="0.2">
      <c r="A35" s="9">
        <v>1</v>
      </c>
      <c r="B35" s="9" t="str" cm="1">
        <f t="array" ref="B35">_xlfn._xlws.FILTER(Meldeformular_Namen,Meldeformular!$H$11:$H$60=11,"")</f>
        <v/>
      </c>
      <c r="C35" s="9"/>
      <c r="D35" s="9" t="str" cm="1">
        <f t="array" ref="D35">_xlfn._xlws.FILTER(Meldeformular!$F$11:$F$60,Meldeformular!$H$11:$H$60=11,"")</f>
        <v/>
      </c>
      <c r="E35" s="2"/>
      <c r="F35" s="9">
        <v>1</v>
      </c>
      <c r="G35" s="9" t="str" cm="1">
        <f t="array" ref="G35">_xlfn._xlws.FILTER(Meldeformular_Namen,Meldeformular!$H$11:$H$60=12,"")</f>
        <v/>
      </c>
      <c r="H35" s="9"/>
      <c r="I35" s="9" t="str" cm="1">
        <f t="array" ref="I35">_xlfn._xlws.FILTER(Meldeformular!$F$11:$F$60,Meldeformular!$H$11:$H$60=12,"")</f>
        <v/>
      </c>
    </row>
    <row r="36" spans="1:9" x14ac:dyDescent="0.2">
      <c r="A36" s="9">
        <v>2</v>
      </c>
      <c r="B36" s="9"/>
      <c r="C36" s="9"/>
      <c r="D36" s="9"/>
      <c r="E36" s="2"/>
      <c r="F36" s="9">
        <v>2</v>
      </c>
      <c r="G36" s="9"/>
      <c r="H36" s="9"/>
      <c r="I36" s="9"/>
    </row>
    <row r="37" spans="1:9" x14ac:dyDescent="0.2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">
      <c r="A38" s="8" t="str">
        <f>"Paarkür 13: " &amp; IF(D41,_xlfn.XLOOKUP(MAX(D40,D41),Einstellungen!$A$22:$A$29,Einstellungen!$B$22:$B$29,"",-1),"")</f>
        <v xml:space="preserve">Paarkür 13: </v>
      </c>
      <c r="B38" s="93" t="s">
        <v>66</v>
      </c>
      <c r="C38" s="94"/>
      <c r="D38" s="95"/>
      <c r="E38" s="2"/>
      <c r="F38" s="8" t="str">
        <f>"Paarkür 14: " &amp; IF(I41,_xlfn.XLOOKUP(MAX(I40,I41),Einstellungen!$A$22:$A$29,Einstellungen!$B$22:$B$29,"",-1),"")</f>
        <v xml:space="preserve">Paarkür 14: </v>
      </c>
      <c r="G38" s="93" t="s">
        <v>66</v>
      </c>
      <c r="H38" s="94"/>
      <c r="I38" s="95"/>
    </row>
    <row r="39" spans="1:9" x14ac:dyDescent="0.2">
      <c r="A39" s="59" t="s">
        <v>33</v>
      </c>
      <c r="B39" s="59" t="s">
        <v>34</v>
      </c>
      <c r="C39" s="59" t="s">
        <v>18</v>
      </c>
      <c r="D39" s="59" t="s">
        <v>21</v>
      </c>
      <c r="E39" s="2"/>
      <c r="F39" s="59" t="s">
        <v>33</v>
      </c>
      <c r="G39" s="59" t="s">
        <v>34</v>
      </c>
      <c r="H39" s="59" t="s">
        <v>18</v>
      </c>
      <c r="I39" s="59" t="s">
        <v>21</v>
      </c>
    </row>
    <row r="40" spans="1:9" x14ac:dyDescent="0.2">
      <c r="A40" s="9">
        <v>1</v>
      </c>
      <c r="B40" s="9" t="str" cm="1">
        <f t="array" ref="B40">_xlfn._xlws.FILTER(Meldeformular_Namen,Meldeformular!$H$11:$H$60=13,"")</f>
        <v/>
      </c>
      <c r="C40" s="9"/>
      <c r="D40" s="9" t="str" cm="1">
        <f t="array" ref="D40">_xlfn._xlws.FILTER(Meldeformular!$F$11:$F$60,Meldeformular!$H$11:$H$60=13,"")</f>
        <v/>
      </c>
      <c r="E40" s="2"/>
      <c r="F40" s="9">
        <v>1</v>
      </c>
      <c r="G40" s="9" t="str" cm="1">
        <f t="array" ref="G40">_xlfn._xlws.FILTER(Meldeformular_Namen,Meldeformular!$H$11:$H$60=14,"")</f>
        <v/>
      </c>
      <c r="H40" s="9"/>
      <c r="I40" s="9" t="str" cm="1">
        <f t="array" ref="I40">_xlfn._xlws.FILTER(Meldeformular!$F$11:$F$60,Meldeformular!$H$11:$H$60=14,"")</f>
        <v/>
      </c>
    </row>
    <row r="41" spans="1:9" x14ac:dyDescent="0.2">
      <c r="A41" s="9">
        <v>2</v>
      </c>
      <c r="B41" s="9"/>
      <c r="C41" s="9"/>
      <c r="D41" s="9"/>
      <c r="E41" s="2"/>
      <c r="F41" s="9">
        <v>2</v>
      </c>
      <c r="G41" s="9"/>
      <c r="H41" s="9"/>
      <c r="I41" s="9"/>
    </row>
    <row r="42" spans="1:9" x14ac:dyDescent="0.2">
      <c r="A42" s="2"/>
      <c r="B42" s="2"/>
      <c r="C42" s="2"/>
      <c r="D42" s="2"/>
      <c r="E42" s="2"/>
      <c r="F42" s="2"/>
      <c r="G42" s="2"/>
      <c r="H42" s="2"/>
      <c r="I42" s="2"/>
    </row>
    <row r="43" spans="1:9" x14ac:dyDescent="0.2">
      <c r="A43" s="8" t="str">
        <f>"Paarkür 15: " &amp; IF(D46,_xlfn.XLOOKUP(MAX(D45,D46),Einstellungen!$A$22:$A$29,Einstellungen!$B$22:$B$29,"",-1),"")</f>
        <v xml:space="preserve">Paarkür 15: </v>
      </c>
      <c r="B43" s="93" t="s">
        <v>66</v>
      </c>
      <c r="C43" s="94"/>
      <c r="D43" s="95"/>
      <c r="E43" s="2"/>
      <c r="F43" s="8" t="str">
        <f>"Paarkür 16: " &amp; IF(I46,_xlfn.XLOOKUP(MAX(I45,I46),Einstellungen!$A$22:$A$29,Einstellungen!$B$22:$B$29,"",-1),"")</f>
        <v xml:space="preserve">Paarkür 16: </v>
      </c>
      <c r="G43" s="93" t="s">
        <v>66</v>
      </c>
      <c r="H43" s="94"/>
      <c r="I43" s="95"/>
    </row>
    <row r="44" spans="1:9" x14ac:dyDescent="0.2">
      <c r="A44" s="59" t="s">
        <v>33</v>
      </c>
      <c r="B44" s="59" t="s">
        <v>34</v>
      </c>
      <c r="C44" s="59" t="s">
        <v>18</v>
      </c>
      <c r="D44" s="59" t="s">
        <v>21</v>
      </c>
      <c r="E44" s="2"/>
      <c r="F44" s="59" t="s">
        <v>33</v>
      </c>
      <c r="G44" s="59" t="s">
        <v>34</v>
      </c>
      <c r="H44" s="59" t="s">
        <v>18</v>
      </c>
      <c r="I44" s="59" t="s">
        <v>21</v>
      </c>
    </row>
    <row r="45" spans="1:9" x14ac:dyDescent="0.2">
      <c r="A45" s="9">
        <v>1</v>
      </c>
      <c r="B45" s="9" t="str" cm="1">
        <f t="array" ref="B45">_xlfn._xlws.FILTER(Meldeformular_Namen,Meldeformular!$H$11:$H$60=15,"")</f>
        <v/>
      </c>
      <c r="C45" s="9"/>
      <c r="D45" s="9" t="str" cm="1">
        <f t="array" ref="D45">_xlfn._xlws.FILTER(Meldeformular!$F$11:$F$60,Meldeformular!$H$11:$H$60=15,"")</f>
        <v/>
      </c>
      <c r="E45" s="2"/>
      <c r="F45" s="9">
        <v>1</v>
      </c>
      <c r="G45" s="9" t="str" cm="1">
        <f t="array" ref="G45">_xlfn._xlws.FILTER(Meldeformular_Namen,Meldeformular!$H$11:$H$60=16,"")</f>
        <v/>
      </c>
      <c r="H45" s="9"/>
      <c r="I45" s="9" t="str" cm="1">
        <f t="array" ref="I45">_xlfn._xlws.FILTER(Meldeformular!$F$11:$F$60,Meldeformular!$H$11:$H$60=16,"")</f>
        <v/>
      </c>
    </row>
    <row r="46" spans="1:9" x14ac:dyDescent="0.2">
      <c r="A46" s="9">
        <v>2</v>
      </c>
      <c r="B46" s="9"/>
      <c r="C46" s="9"/>
      <c r="D46" s="9"/>
      <c r="E46" s="2"/>
      <c r="F46" s="9">
        <v>2</v>
      </c>
      <c r="G46" s="9"/>
      <c r="H46" s="9"/>
      <c r="I46" s="9"/>
    </row>
    <row r="47" spans="1:9" x14ac:dyDescent="0.2">
      <c r="A47" s="2"/>
      <c r="B47" s="2"/>
      <c r="C47" s="2"/>
      <c r="D47" s="2"/>
      <c r="E47" s="2"/>
      <c r="F47" s="2"/>
      <c r="G47" s="2"/>
      <c r="H47" s="2"/>
      <c r="I47" s="2"/>
    </row>
    <row r="48" spans="1:9" x14ac:dyDescent="0.2">
      <c r="A48" s="8" t="str">
        <f>"Paarkür 17: " &amp; IF(D51,_xlfn.XLOOKUP(MAX(D50,D51),Einstellungen!$A$22:$A$29,Einstellungen!$B$22:$B$29,"",-1),"")</f>
        <v xml:space="preserve">Paarkür 17: </v>
      </c>
      <c r="B48" s="93" t="s">
        <v>66</v>
      </c>
      <c r="C48" s="94"/>
      <c r="D48" s="95"/>
      <c r="E48" s="2"/>
      <c r="F48" s="8" t="str">
        <f>"Paarkür 18: " &amp; IF(I51,_xlfn.XLOOKUP(MAX(I50,I51),Einstellungen!$A$22:$A$29,Einstellungen!$B$22:$B$29,"",-1),"")</f>
        <v xml:space="preserve">Paarkür 18: </v>
      </c>
      <c r="G48" s="93" t="s">
        <v>66</v>
      </c>
      <c r="H48" s="94"/>
      <c r="I48" s="95"/>
    </row>
    <row r="49" spans="1:9" x14ac:dyDescent="0.2">
      <c r="A49" s="59" t="s">
        <v>33</v>
      </c>
      <c r="B49" s="59" t="s">
        <v>34</v>
      </c>
      <c r="C49" s="59" t="s">
        <v>18</v>
      </c>
      <c r="D49" s="59" t="s">
        <v>21</v>
      </c>
      <c r="E49" s="2"/>
      <c r="F49" s="59" t="s">
        <v>33</v>
      </c>
      <c r="G49" s="59" t="s">
        <v>34</v>
      </c>
      <c r="H49" s="59" t="s">
        <v>18</v>
      </c>
      <c r="I49" s="59" t="s">
        <v>21</v>
      </c>
    </row>
    <row r="50" spans="1:9" x14ac:dyDescent="0.2">
      <c r="A50" s="9">
        <v>1</v>
      </c>
      <c r="B50" s="9" t="str" cm="1">
        <f t="array" ref="B50">_xlfn._xlws.FILTER(Meldeformular_Namen,Meldeformular!$H$11:$H$60=17,"")</f>
        <v/>
      </c>
      <c r="C50" s="9"/>
      <c r="D50" s="9" t="str" cm="1">
        <f t="array" ref="D50">_xlfn._xlws.FILTER(Meldeformular!$F$11:$F$60,Meldeformular!$H$11:$H$60=17,"")</f>
        <v/>
      </c>
      <c r="E50" s="2"/>
      <c r="F50" s="9">
        <v>1</v>
      </c>
      <c r="G50" s="9" t="str" cm="1">
        <f t="array" ref="G50">_xlfn._xlws.FILTER(Meldeformular_Namen,Meldeformular!$H$11:$H$60=18,"")</f>
        <v/>
      </c>
      <c r="H50" s="9"/>
      <c r="I50" s="9" t="str" cm="1">
        <f t="array" ref="I50">_xlfn._xlws.FILTER(Meldeformular!$F$11:$F$60,Meldeformular!$H$11:$H$60=18,"")</f>
        <v/>
      </c>
    </row>
    <row r="51" spans="1:9" x14ac:dyDescent="0.2">
      <c r="A51" s="9">
        <v>2</v>
      </c>
      <c r="B51" s="9"/>
      <c r="C51" s="9"/>
      <c r="D51" s="9"/>
      <c r="E51" s="2"/>
      <c r="F51" s="9">
        <v>2</v>
      </c>
      <c r="G51" s="9"/>
      <c r="H51" s="9"/>
      <c r="I51" s="9"/>
    </row>
    <row r="52" spans="1:9" x14ac:dyDescent="0.2">
      <c r="A52" s="2"/>
      <c r="B52" s="2"/>
      <c r="C52" s="2"/>
      <c r="D52" s="2"/>
      <c r="E52" s="2"/>
      <c r="F52" s="2"/>
      <c r="G52" s="2"/>
      <c r="H52" s="2"/>
      <c r="I52" s="2"/>
    </row>
    <row r="53" spans="1:9" x14ac:dyDescent="0.2">
      <c r="A53" s="8" t="str">
        <f>"Paarkür 19: " &amp; IF(D56,_xlfn.XLOOKUP(MAX(D55,D56),Einstellungen!$A$22:$A$29,Einstellungen!$B$22:$B$29,"",-1),"")</f>
        <v xml:space="preserve">Paarkür 19: </v>
      </c>
      <c r="B53" s="93" t="s">
        <v>66</v>
      </c>
      <c r="C53" s="94"/>
      <c r="D53" s="95"/>
      <c r="E53" s="2"/>
      <c r="F53" s="8" t="str">
        <f>"Paarkür 20: " &amp; IF(I56,_xlfn.XLOOKUP(MAX(I55,I56),Einstellungen!$A$22:$A$29,Einstellungen!$B$22:$B$29,"",-1),"")</f>
        <v xml:space="preserve">Paarkür 20: </v>
      </c>
      <c r="G53" s="93" t="s">
        <v>66</v>
      </c>
      <c r="H53" s="94"/>
      <c r="I53" s="95"/>
    </row>
    <row r="54" spans="1:9" x14ac:dyDescent="0.2">
      <c r="A54" s="59" t="s">
        <v>33</v>
      </c>
      <c r="B54" s="59" t="s">
        <v>34</v>
      </c>
      <c r="C54" s="59" t="s">
        <v>18</v>
      </c>
      <c r="D54" s="59" t="s">
        <v>21</v>
      </c>
      <c r="E54" s="2"/>
      <c r="F54" s="59" t="s">
        <v>33</v>
      </c>
      <c r="G54" s="59" t="s">
        <v>34</v>
      </c>
      <c r="H54" s="59" t="s">
        <v>18</v>
      </c>
      <c r="I54" s="59" t="s">
        <v>21</v>
      </c>
    </row>
    <row r="55" spans="1:9" x14ac:dyDescent="0.2">
      <c r="A55" s="9">
        <v>1</v>
      </c>
      <c r="B55" s="9" t="str" cm="1">
        <f t="array" ref="B55">_xlfn._xlws.FILTER(Meldeformular_Namen,Meldeformular!$H$11:$H$60=19,"")</f>
        <v/>
      </c>
      <c r="C55" s="9"/>
      <c r="D55" s="9" t="str" cm="1">
        <f t="array" ref="D55">_xlfn._xlws.FILTER(Meldeformular!$F$11:$F$60,Meldeformular!$H$11:$H$60=19,"")</f>
        <v/>
      </c>
      <c r="E55" s="2"/>
      <c r="F55" s="9">
        <v>1</v>
      </c>
      <c r="G55" s="9" t="str" cm="1">
        <f t="array" ref="G55">_xlfn._xlws.FILTER(Meldeformular_Namen,Meldeformular!$H$11:$H$60=20,"")</f>
        <v/>
      </c>
      <c r="H55" s="9"/>
      <c r="I55" s="9" t="str" cm="1">
        <f t="array" ref="I55">_xlfn._xlws.FILTER(Meldeformular!$F$11:$F$60,Meldeformular!$H$11:$H$60=20,"")</f>
        <v/>
      </c>
    </row>
    <row r="56" spans="1:9" x14ac:dyDescent="0.2">
      <c r="A56" s="9">
        <v>2</v>
      </c>
      <c r="B56" s="9"/>
      <c r="C56" s="9"/>
      <c r="D56" s="9"/>
      <c r="E56" s="2"/>
      <c r="F56" s="9">
        <v>2</v>
      </c>
      <c r="G56" s="9"/>
      <c r="H56" s="9"/>
      <c r="I56" s="9"/>
    </row>
    <row r="57" spans="1:9" x14ac:dyDescent="0.2">
      <c r="A57" s="2"/>
      <c r="B57" s="2"/>
      <c r="C57" s="2"/>
      <c r="D57" s="2"/>
      <c r="E57" s="2"/>
      <c r="F57" s="2"/>
      <c r="G57" s="2"/>
      <c r="H57" s="2"/>
      <c r="I57" s="2"/>
    </row>
  </sheetData>
  <sheetProtection algorithmName="SHA-512" hashValue="J0yYgrs/NW4TetJMeUyOG7vXQj2QghUbuxxtZ7XtUUzrArVwzIInUK4P+ENbCtUei/xmiRrInywQdppk+Rz4ig==" saltValue="NQQIRZf1vBzUQ0Xkbm2FbQ==" spinCount="100000" sheet="1" selectLockedCells="1"/>
  <mergeCells count="26">
    <mergeCell ref="B53:D53"/>
    <mergeCell ref="G53:I53"/>
    <mergeCell ref="B38:D38"/>
    <mergeCell ref="G38:I38"/>
    <mergeCell ref="B43:D43"/>
    <mergeCell ref="G43:I43"/>
    <mergeCell ref="B48:D48"/>
    <mergeCell ref="G48:I48"/>
    <mergeCell ref="B23:D23"/>
    <mergeCell ref="G23:I23"/>
    <mergeCell ref="B28:D28"/>
    <mergeCell ref="G28:I28"/>
    <mergeCell ref="B33:D33"/>
    <mergeCell ref="G33:I33"/>
    <mergeCell ref="G18:I18"/>
    <mergeCell ref="B18:D18"/>
    <mergeCell ref="G8:I8"/>
    <mergeCell ref="B13:D13"/>
    <mergeCell ref="G13:I13"/>
    <mergeCell ref="G12:I12"/>
    <mergeCell ref="B8:D8"/>
    <mergeCell ref="B5:D5"/>
    <mergeCell ref="A1:J2"/>
    <mergeCell ref="A3:J4"/>
    <mergeCell ref="E5:J5"/>
    <mergeCell ref="G6:I6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F2295-AE12-43A8-8248-5B465723CD79}">
  <dimension ref="A1:E27"/>
  <sheetViews>
    <sheetView zoomScale="140" zoomScaleNormal="140" workbookViewId="0">
      <selection activeCell="E8" sqref="E8"/>
    </sheetView>
  </sheetViews>
  <sheetFormatPr baseColWidth="10" defaultColWidth="0" defaultRowHeight="15" zeroHeight="1" x14ac:dyDescent="0.2"/>
  <cols>
    <col min="1" max="2" width="18.5" style="34" customWidth="1"/>
    <col min="3" max="3" width="6" style="34" customWidth="1"/>
    <col min="4" max="4" width="12.33203125" customWidth="1"/>
    <col min="5" max="5" width="45.5" style="36" customWidth="1"/>
    <col min="6" max="16384" width="11.5" hidden="1"/>
  </cols>
  <sheetData>
    <row r="1" spans="1:5" x14ac:dyDescent="0.2">
      <c r="A1" s="85" t="str">
        <f>Einstellungen!B5</f>
        <v>Württembergische Meisterschaft und Edelweiß Cup</v>
      </c>
      <c r="B1" s="85"/>
      <c r="C1" s="85"/>
      <c r="D1" s="85"/>
      <c r="E1" s="85"/>
    </row>
    <row r="2" spans="1:5" x14ac:dyDescent="0.2">
      <c r="A2" s="85"/>
      <c r="B2" s="85"/>
      <c r="C2" s="85"/>
      <c r="D2" s="85"/>
      <c r="E2" s="85"/>
    </row>
    <row r="3" spans="1:5" x14ac:dyDescent="0.2">
      <c r="A3" s="80">
        <f>Einstellungen!B6</f>
        <v>46151</v>
      </c>
      <c r="B3" s="81"/>
      <c r="C3" s="81"/>
      <c r="D3" s="81"/>
      <c r="E3" s="81"/>
    </row>
    <row r="4" spans="1:5" x14ac:dyDescent="0.2">
      <c r="A4" s="81"/>
      <c r="B4" s="81"/>
      <c r="C4" s="81"/>
      <c r="D4" s="81"/>
      <c r="E4" s="81"/>
    </row>
    <row r="5" spans="1:5" ht="19" x14ac:dyDescent="0.25">
      <c r="A5" s="58" t="s">
        <v>0</v>
      </c>
      <c r="B5" s="90">
        <f>'Allgemeine Informationen'!C6</f>
        <v>0</v>
      </c>
      <c r="C5" s="90"/>
      <c r="D5" s="90"/>
      <c r="E5" s="11" t="s">
        <v>67</v>
      </c>
    </row>
    <row r="6" spans="1:5" x14ac:dyDescent="0.2">
      <c r="A6" s="4"/>
      <c r="B6" s="4"/>
      <c r="C6" s="4"/>
      <c r="D6" s="4"/>
      <c r="E6" s="3"/>
    </row>
    <row r="7" spans="1:5" x14ac:dyDescent="0.2">
      <c r="A7" s="60" t="s">
        <v>18</v>
      </c>
      <c r="B7" s="60" t="s">
        <v>43</v>
      </c>
      <c r="C7" s="60" t="s">
        <v>21</v>
      </c>
      <c r="D7" s="60" t="s">
        <v>44</v>
      </c>
      <c r="E7" s="61" t="s">
        <v>47</v>
      </c>
    </row>
    <row r="8" spans="1:5" x14ac:dyDescent="0.2">
      <c r="A8" s="7" t="str" cm="1">
        <f t="array" ref="A8">_xlfn._xlws.FILTER(Meldeformular_Namen,Meldeformular!I11:I60="ja","")</f>
        <v/>
      </c>
      <c r="B8" s="7"/>
      <c r="C8" s="7" t="str" cm="1">
        <f t="array" ref="C8">_xlfn._xlws.FILTER(Meldeformular!F11:F60,Meldeformular!I11:I60="ja","")</f>
        <v/>
      </c>
      <c r="D8" s="7" t="str">
        <f t="shared" ref="D8:D27" si="0">IF(ISNUMBER(C8),_xlfn.XLOOKUP(C8,Altersklassen_Alter,Altersklasse_Kategorie,"",-1),"")</f>
        <v/>
      </c>
      <c r="E8" s="20"/>
    </row>
    <row r="9" spans="1:5" x14ac:dyDescent="0.2">
      <c r="A9" s="7"/>
      <c r="B9" s="7"/>
      <c r="C9" s="7"/>
      <c r="D9" s="7" t="str">
        <f t="shared" si="0"/>
        <v/>
      </c>
      <c r="E9" s="22"/>
    </row>
    <row r="10" spans="1:5" x14ac:dyDescent="0.2">
      <c r="A10" s="7"/>
      <c r="B10" s="7"/>
      <c r="C10" s="7"/>
      <c r="D10" s="7" t="str">
        <f t="shared" si="0"/>
        <v/>
      </c>
      <c r="E10" s="20"/>
    </row>
    <row r="11" spans="1:5" x14ac:dyDescent="0.2">
      <c r="A11" s="7"/>
      <c r="B11" s="7"/>
      <c r="C11" s="7"/>
      <c r="D11" s="7" t="str">
        <f t="shared" si="0"/>
        <v/>
      </c>
      <c r="E11" s="22"/>
    </row>
    <row r="12" spans="1:5" x14ac:dyDescent="0.2">
      <c r="A12" s="7"/>
      <c r="B12" s="7"/>
      <c r="C12" s="7"/>
      <c r="D12" s="7" t="str">
        <f t="shared" si="0"/>
        <v/>
      </c>
      <c r="E12" s="20"/>
    </row>
    <row r="13" spans="1:5" x14ac:dyDescent="0.2">
      <c r="A13" s="7"/>
      <c r="B13" s="7"/>
      <c r="C13" s="7"/>
      <c r="D13" s="7" t="str">
        <f t="shared" si="0"/>
        <v/>
      </c>
      <c r="E13" s="22"/>
    </row>
    <row r="14" spans="1:5" x14ac:dyDescent="0.2">
      <c r="A14" s="7"/>
      <c r="B14" s="7"/>
      <c r="C14" s="7"/>
      <c r="D14" s="7" t="str">
        <f t="shared" si="0"/>
        <v/>
      </c>
      <c r="E14" s="20"/>
    </row>
    <row r="15" spans="1:5" x14ac:dyDescent="0.2">
      <c r="A15" s="7"/>
      <c r="B15" s="7"/>
      <c r="C15" s="7"/>
      <c r="D15" s="7" t="str">
        <f t="shared" si="0"/>
        <v/>
      </c>
      <c r="E15" s="22"/>
    </row>
    <row r="16" spans="1:5" x14ac:dyDescent="0.2">
      <c r="A16" s="7"/>
      <c r="B16" s="7"/>
      <c r="C16" s="7"/>
      <c r="D16" s="7" t="str">
        <f t="shared" si="0"/>
        <v/>
      </c>
      <c r="E16" s="20"/>
    </row>
    <row r="17" spans="1:5" x14ac:dyDescent="0.2">
      <c r="A17" s="7"/>
      <c r="B17" s="7"/>
      <c r="C17" s="7"/>
      <c r="D17" s="7" t="str">
        <f t="shared" si="0"/>
        <v/>
      </c>
      <c r="E17" s="22"/>
    </row>
    <row r="18" spans="1:5" x14ac:dyDescent="0.2">
      <c r="A18" s="7"/>
      <c r="B18" s="7"/>
      <c r="C18" s="7"/>
      <c r="D18" s="7" t="str">
        <f t="shared" si="0"/>
        <v/>
      </c>
      <c r="E18" s="20"/>
    </row>
    <row r="19" spans="1:5" x14ac:dyDescent="0.2">
      <c r="A19" s="7"/>
      <c r="B19" s="7"/>
      <c r="C19" s="7"/>
      <c r="D19" s="7" t="str">
        <f t="shared" si="0"/>
        <v/>
      </c>
      <c r="E19" s="22"/>
    </row>
    <row r="20" spans="1:5" x14ac:dyDescent="0.2">
      <c r="A20" s="7"/>
      <c r="B20" s="7"/>
      <c r="C20" s="7"/>
      <c r="D20" s="7" t="str">
        <f t="shared" si="0"/>
        <v/>
      </c>
      <c r="E20" s="20"/>
    </row>
    <row r="21" spans="1:5" x14ac:dyDescent="0.2">
      <c r="A21" s="7"/>
      <c r="B21" s="7"/>
      <c r="C21" s="7"/>
      <c r="D21" s="7" t="str">
        <f t="shared" si="0"/>
        <v/>
      </c>
      <c r="E21" s="22"/>
    </row>
    <row r="22" spans="1:5" x14ac:dyDescent="0.2">
      <c r="A22" s="7"/>
      <c r="B22" s="7"/>
      <c r="C22" s="7"/>
      <c r="D22" s="7" t="str">
        <f t="shared" si="0"/>
        <v/>
      </c>
      <c r="E22" s="20"/>
    </row>
    <row r="23" spans="1:5" x14ac:dyDescent="0.2">
      <c r="A23" s="7"/>
      <c r="B23" s="7"/>
      <c r="C23" s="7"/>
      <c r="D23" s="7" t="str">
        <f t="shared" si="0"/>
        <v/>
      </c>
      <c r="E23" s="22"/>
    </row>
    <row r="24" spans="1:5" x14ac:dyDescent="0.2">
      <c r="A24" s="7"/>
      <c r="B24" s="7"/>
      <c r="C24" s="7"/>
      <c r="D24" s="7" t="str">
        <f t="shared" si="0"/>
        <v/>
      </c>
      <c r="E24" s="20"/>
    </row>
    <row r="25" spans="1:5" x14ac:dyDescent="0.2">
      <c r="A25" s="7"/>
      <c r="B25" s="7"/>
      <c r="C25" s="7"/>
      <c r="D25" s="7" t="str">
        <f t="shared" si="0"/>
        <v/>
      </c>
      <c r="E25" s="22"/>
    </row>
    <row r="26" spans="1:5" x14ac:dyDescent="0.2">
      <c r="A26" s="7"/>
      <c r="B26" s="7"/>
      <c r="C26" s="7"/>
      <c r="D26" s="7" t="str">
        <f t="shared" si="0"/>
        <v/>
      </c>
      <c r="E26" s="20"/>
    </row>
    <row r="27" spans="1:5" x14ac:dyDescent="0.2">
      <c r="A27" s="31"/>
      <c r="B27" s="31"/>
      <c r="C27" s="31"/>
      <c r="D27" s="31" t="str">
        <f t="shared" si="0"/>
        <v/>
      </c>
      <c r="E27" s="32"/>
    </row>
  </sheetData>
  <sheetProtection algorithmName="SHA-512" hashValue="dXVvBcKv4OLQkmVT66vMANAXCJfrE5v4jBnwIqP86OFIRX76NbKkLA4oNqiYnWFumb1VJSv1t/mbZDlWXkZWUg==" saltValue="yb4jVaSVpme+ukZFB3k5cg==" spinCount="100000" sheet="1" selectLockedCells="1"/>
  <mergeCells count="3">
    <mergeCell ref="A1:E2"/>
    <mergeCell ref="A3:E4"/>
    <mergeCell ref="B5:D5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A9718-7322-4FD8-AE49-678FBC4A27BA}">
  <dimension ref="A1:J57"/>
  <sheetViews>
    <sheetView zoomScale="140" zoomScaleNormal="140" workbookViewId="0">
      <selection activeCell="B8" sqref="B8:D8"/>
    </sheetView>
  </sheetViews>
  <sheetFormatPr baseColWidth="10" defaultColWidth="0" defaultRowHeight="15" zeroHeight="1" x14ac:dyDescent="0.2"/>
  <cols>
    <col min="1" max="1" width="14.33203125" customWidth="1"/>
    <col min="2" max="5" width="11.5" customWidth="1"/>
    <col min="6" max="6" width="14.33203125" customWidth="1"/>
    <col min="7" max="10" width="11.5" customWidth="1"/>
    <col min="11" max="16384" width="11.5" hidden="1"/>
  </cols>
  <sheetData>
    <row r="1" spans="1:10" x14ac:dyDescent="0.2">
      <c r="A1" s="85" t="str">
        <f>Einstellungen!B5</f>
        <v>Württembergische Meisterschaft und Edelweiß Cup</v>
      </c>
      <c r="B1" s="85"/>
      <c r="C1" s="85"/>
      <c r="D1" s="85"/>
      <c r="E1" s="85"/>
      <c r="F1" s="85"/>
      <c r="G1" s="85"/>
      <c r="H1" s="85"/>
      <c r="I1" s="85"/>
      <c r="J1" s="85"/>
    </row>
    <row r="2" spans="1:10" x14ac:dyDescent="0.2">
      <c r="A2" s="85"/>
      <c r="B2" s="85"/>
      <c r="C2" s="85"/>
      <c r="D2" s="85"/>
      <c r="E2" s="85"/>
      <c r="F2" s="85"/>
      <c r="G2" s="85"/>
      <c r="H2" s="85"/>
      <c r="I2" s="85"/>
      <c r="J2" s="85"/>
    </row>
    <row r="3" spans="1:10" x14ac:dyDescent="0.2">
      <c r="A3" s="80">
        <f>Einstellungen!B6</f>
        <v>46151</v>
      </c>
      <c r="B3" s="81"/>
      <c r="C3" s="81"/>
      <c r="D3" s="81"/>
      <c r="E3" s="81"/>
      <c r="F3" s="81"/>
      <c r="G3" s="81"/>
      <c r="H3" s="81"/>
      <c r="I3" s="81"/>
      <c r="J3" s="81"/>
    </row>
    <row r="4" spans="1:10" x14ac:dyDescent="0.2">
      <c r="A4" s="81"/>
      <c r="B4" s="81"/>
      <c r="C4" s="81"/>
      <c r="D4" s="81"/>
      <c r="E4" s="81"/>
      <c r="F4" s="81"/>
      <c r="G4" s="81"/>
      <c r="H4" s="81"/>
      <c r="I4" s="81"/>
      <c r="J4" s="81"/>
    </row>
    <row r="5" spans="1:10" ht="19" x14ac:dyDescent="0.2">
      <c r="A5" s="52" t="s">
        <v>0</v>
      </c>
      <c r="B5" s="86">
        <f>'Allgemeine Informationen'!C6</f>
        <v>0</v>
      </c>
      <c r="C5" s="86"/>
      <c r="D5" s="86"/>
      <c r="E5" s="91" t="s">
        <v>68</v>
      </c>
      <c r="F5" s="91"/>
      <c r="G5" s="91"/>
      <c r="H5" s="91"/>
      <c r="I5" s="91"/>
      <c r="J5" s="91"/>
    </row>
    <row r="6" spans="1:10" x14ac:dyDescent="0.2">
      <c r="A6" s="4"/>
      <c r="B6" s="2"/>
      <c r="C6" s="2"/>
      <c r="D6" s="2"/>
      <c r="E6" s="2"/>
      <c r="G6" s="92"/>
      <c r="H6" s="92"/>
      <c r="I6" s="92"/>
    </row>
    <row r="7" spans="1:10" x14ac:dyDescent="0.2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x14ac:dyDescent="0.2">
      <c r="A8" s="8" t="str">
        <f>"Paarkür 1: " &amp; IF(D11,_xlfn.XLOOKUP(MAX(D10,D11),Einstellungen!$A$32:$A$48,Einstellungen!$B$32:$B$48,"",-1),"")</f>
        <v xml:space="preserve">Paarkür 1: </v>
      </c>
      <c r="B8" s="93" t="s">
        <v>66</v>
      </c>
      <c r="C8" s="94"/>
      <c r="D8" s="95"/>
      <c r="E8" s="2"/>
      <c r="F8" s="8" t="str">
        <f>"Paarkür 2: " &amp; IF(I11,_xlfn.XLOOKUP(MAX(I10,I11),Einstellungen!$A$32:$A$48,Einstellungen!$B$32:$B$48,"",-1),"")</f>
        <v xml:space="preserve">Paarkür 2: </v>
      </c>
      <c r="G8" s="93" t="s">
        <v>66</v>
      </c>
      <c r="H8" s="94"/>
      <c r="I8" s="95"/>
      <c r="J8" s="2"/>
    </row>
    <row r="9" spans="1:10" x14ac:dyDescent="0.2">
      <c r="A9" s="59" t="s">
        <v>33</v>
      </c>
      <c r="B9" s="59" t="s">
        <v>34</v>
      </c>
      <c r="C9" s="59" t="s">
        <v>18</v>
      </c>
      <c r="D9" s="59" t="s">
        <v>21</v>
      </c>
      <c r="E9" s="2"/>
      <c r="F9" s="59" t="s">
        <v>33</v>
      </c>
      <c r="G9" s="59" t="s">
        <v>34</v>
      </c>
      <c r="H9" s="59" t="s">
        <v>18</v>
      </c>
      <c r="I9" s="59" t="s">
        <v>21</v>
      </c>
      <c r="J9" s="2"/>
    </row>
    <row r="10" spans="1:10" x14ac:dyDescent="0.2">
      <c r="A10" s="9">
        <v>1</v>
      </c>
      <c r="B10" s="9" t="str" cm="1">
        <f t="array" ref="B10">_xlfn._xlws.FILTER(Meldeformular_Namen,Meldeformular!$J$11:$J$60=1,"")</f>
        <v/>
      </c>
      <c r="C10" s="9"/>
      <c r="D10" s="9" t="str" cm="1">
        <f t="array" ref="D10">_xlfn._xlws.FILTER(Meldeformular!$F$11:$F$60,Meldeformular!$J$11:$J$60=1,"")</f>
        <v/>
      </c>
      <c r="E10" s="2"/>
      <c r="F10" s="9">
        <v>1</v>
      </c>
      <c r="G10" s="9" t="str" cm="1">
        <f t="array" ref="G10">_xlfn._xlws.FILTER(Meldeformular_Namen,Meldeformular!$J$11:$J$60=2,"")</f>
        <v/>
      </c>
      <c r="H10" s="9"/>
      <c r="I10" s="9" t="str" cm="1">
        <f t="array" ref="I10">_xlfn._xlws.FILTER(Meldeformular!$F$11:$F$60,Meldeformular!$J$11:$J$60=2,"")</f>
        <v/>
      </c>
      <c r="J10" s="2"/>
    </row>
    <row r="11" spans="1:10" x14ac:dyDescent="0.2">
      <c r="A11" s="9">
        <v>2</v>
      </c>
      <c r="B11" s="9"/>
      <c r="C11" s="9"/>
      <c r="D11" s="9"/>
      <c r="E11" s="2"/>
      <c r="F11" s="9">
        <v>2</v>
      </c>
      <c r="G11" s="9"/>
      <c r="H11" s="9"/>
      <c r="I11" s="9"/>
      <c r="J11" s="2"/>
    </row>
    <row r="12" spans="1:10" x14ac:dyDescent="0.2">
      <c r="A12" s="2"/>
      <c r="B12" s="92"/>
      <c r="C12" s="92"/>
      <c r="D12" s="92"/>
      <c r="E12" s="2"/>
      <c r="F12" s="2"/>
      <c r="G12" s="92"/>
      <c r="H12" s="92"/>
      <c r="I12" s="92"/>
      <c r="J12" s="2"/>
    </row>
    <row r="13" spans="1:10" x14ac:dyDescent="0.2">
      <c r="A13" s="8" t="str">
        <f>"Paarkür 3: " &amp; IF(D16,_xlfn.XLOOKUP(MAX(D15,D16),Einstellungen!$A$32:$A$48,Einstellungen!$B$32:$B$48,"",-1),"")</f>
        <v xml:space="preserve">Paarkür 3: </v>
      </c>
      <c r="B13" s="93" t="s">
        <v>66</v>
      </c>
      <c r="C13" s="94"/>
      <c r="D13" s="95"/>
      <c r="E13" s="2"/>
      <c r="F13" s="8" t="str">
        <f>"Paarkür 4: " &amp; IF(I16,_xlfn.XLOOKUP(MAX(I15,I16),Einstellungen!$A$32:$A$48,Einstellungen!$B$32:$B$48,"",-1),"")</f>
        <v xml:space="preserve">Paarkür 4: </v>
      </c>
      <c r="G13" s="93" t="s">
        <v>66</v>
      </c>
      <c r="H13" s="94"/>
      <c r="I13" s="95"/>
      <c r="J13" s="2"/>
    </row>
    <row r="14" spans="1:10" x14ac:dyDescent="0.2">
      <c r="A14" s="59" t="s">
        <v>33</v>
      </c>
      <c r="B14" s="59" t="s">
        <v>34</v>
      </c>
      <c r="C14" s="59" t="s">
        <v>18</v>
      </c>
      <c r="D14" s="59" t="s">
        <v>21</v>
      </c>
      <c r="E14" s="2"/>
      <c r="F14" s="59" t="s">
        <v>33</v>
      </c>
      <c r="G14" s="59" t="s">
        <v>34</v>
      </c>
      <c r="H14" s="59" t="s">
        <v>18</v>
      </c>
      <c r="I14" s="59" t="s">
        <v>21</v>
      </c>
      <c r="J14" s="2"/>
    </row>
    <row r="15" spans="1:10" x14ac:dyDescent="0.2">
      <c r="A15" s="9">
        <v>1</v>
      </c>
      <c r="B15" s="9" t="str" cm="1">
        <f t="array" ref="B15">_xlfn._xlws.FILTER(Meldeformular_Namen,Meldeformular!$J$11:$J$60=3,"")</f>
        <v/>
      </c>
      <c r="C15" s="9"/>
      <c r="D15" s="9" t="str" cm="1">
        <f t="array" ref="D15">_xlfn._xlws.FILTER(Meldeformular!$F$11:$F$60,Meldeformular!$J$11:$J$60=3,"")</f>
        <v/>
      </c>
      <c r="E15" s="2"/>
      <c r="F15" s="9">
        <v>1</v>
      </c>
      <c r="G15" s="9" t="str" cm="1">
        <f t="array" ref="G15">_xlfn._xlws.FILTER(Meldeformular_Namen,Meldeformular!$J$11:$J$60=4,"")</f>
        <v/>
      </c>
      <c r="H15" s="9"/>
      <c r="I15" s="9" t="str" cm="1">
        <f t="array" ref="I15">_xlfn._xlws.FILTER(Meldeformular!$F$11:$F$60,Meldeformular!$J$11:$J$60=4,"")</f>
        <v/>
      </c>
      <c r="J15" s="2"/>
    </row>
    <row r="16" spans="1:10" x14ac:dyDescent="0.2">
      <c r="A16" s="9">
        <v>2</v>
      </c>
      <c r="B16" s="9"/>
      <c r="C16" s="9"/>
      <c r="D16" s="9"/>
      <c r="E16" s="2"/>
      <c r="F16" s="9">
        <v>2</v>
      </c>
      <c r="G16" s="9"/>
      <c r="H16" s="9"/>
      <c r="I16" s="9"/>
      <c r="J16" s="2"/>
    </row>
    <row r="17" spans="1:10" x14ac:dyDescent="0.2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0" x14ac:dyDescent="0.2">
      <c r="A18" s="8" t="str">
        <f>"Paarkür 5: " &amp; IF(D21,_xlfn.XLOOKUP(MAX(D20,D21),Einstellungen!$A$32:$A$48,Einstellungen!$B$32:$B$48,"",-1),"")</f>
        <v xml:space="preserve">Paarkür 5: </v>
      </c>
      <c r="B18" s="93" t="s">
        <v>66</v>
      </c>
      <c r="C18" s="94"/>
      <c r="D18" s="95"/>
      <c r="E18" s="2"/>
      <c r="F18" s="8" t="str">
        <f>"Paarkür 6: " &amp; IF(I21,_xlfn.XLOOKUP(MAX(I20,I21),Einstellungen!$A$32:$A$48,Einstellungen!$B$32:$B$48,"",-1),"")</f>
        <v xml:space="preserve">Paarkür 6: </v>
      </c>
      <c r="G18" s="93" t="s">
        <v>66</v>
      </c>
      <c r="H18" s="94"/>
      <c r="I18" s="95"/>
      <c r="J18" s="2"/>
    </row>
    <row r="19" spans="1:10" x14ac:dyDescent="0.2">
      <c r="A19" s="59" t="s">
        <v>33</v>
      </c>
      <c r="B19" s="59" t="s">
        <v>34</v>
      </c>
      <c r="C19" s="59" t="s">
        <v>18</v>
      </c>
      <c r="D19" s="59" t="s">
        <v>21</v>
      </c>
      <c r="E19" s="2"/>
      <c r="F19" s="59" t="s">
        <v>33</v>
      </c>
      <c r="G19" s="59" t="s">
        <v>34</v>
      </c>
      <c r="H19" s="59" t="s">
        <v>18</v>
      </c>
      <c r="I19" s="59" t="s">
        <v>21</v>
      </c>
      <c r="J19" s="2"/>
    </row>
    <row r="20" spans="1:10" x14ac:dyDescent="0.2">
      <c r="A20" s="9">
        <v>1</v>
      </c>
      <c r="B20" s="9" t="str" cm="1">
        <f t="array" ref="B20">_xlfn._xlws.FILTER(Meldeformular_Namen,Meldeformular!$J$11:$J$60=5,"")</f>
        <v/>
      </c>
      <c r="C20" s="9"/>
      <c r="D20" s="9" t="str" cm="1">
        <f t="array" ref="D20">_xlfn._xlws.FILTER(Meldeformular!$F$11:$F$60,Meldeformular!$J$11:$J$60=5,"")</f>
        <v/>
      </c>
      <c r="E20" s="2"/>
      <c r="F20" s="9">
        <v>1</v>
      </c>
      <c r="G20" s="9" t="str" cm="1">
        <f t="array" ref="G20">_xlfn._xlws.FILTER(Meldeformular_Namen,Meldeformular!$J$11:$J$60=6,"")</f>
        <v/>
      </c>
      <c r="H20" s="9"/>
      <c r="I20" s="9" t="str" cm="1">
        <f t="array" ref="I20">_xlfn._xlws.FILTER(Meldeformular!$F$11:$F$60,Meldeformular!$J$11:$J$60=6,"")</f>
        <v/>
      </c>
      <c r="J20" s="2"/>
    </row>
    <row r="21" spans="1:10" x14ac:dyDescent="0.2">
      <c r="A21" s="9">
        <v>2</v>
      </c>
      <c r="B21" s="9"/>
      <c r="C21" s="9"/>
      <c r="D21" s="9"/>
      <c r="E21" s="2"/>
      <c r="F21" s="9">
        <v>2</v>
      </c>
      <c r="G21" s="9"/>
      <c r="H21" s="9"/>
      <c r="I21" s="9"/>
      <c r="J21" s="2"/>
    </row>
    <row r="22" spans="1:10" x14ac:dyDescent="0.2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x14ac:dyDescent="0.2">
      <c r="A23" s="8" t="str">
        <f>"Paarkür 7: " &amp; IF(D26,_xlfn.XLOOKUP(MAX(D25,D26),Einstellungen!$A$32:$A$48,Einstellungen!$B$32:$B$48,"",-1),"")</f>
        <v xml:space="preserve">Paarkür 7: </v>
      </c>
      <c r="B23" s="93" t="s">
        <v>66</v>
      </c>
      <c r="C23" s="94"/>
      <c r="D23" s="95"/>
      <c r="E23" s="2"/>
      <c r="F23" s="8" t="str">
        <f>"Paarkür 8: " &amp; IF(I26,_xlfn.XLOOKUP(MAX(I25,I26),Einstellungen!$A$32:$A$48,Einstellungen!$B$32:$B$48,"",-1),"")</f>
        <v xml:space="preserve">Paarkür 8: </v>
      </c>
      <c r="G23" s="93" t="s">
        <v>66</v>
      </c>
      <c r="H23" s="94"/>
      <c r="I23" s="95"/>
      <c r="J23" s="2"/>
    </row>
    <row r="24" spans="1:10" x14ac:dyDescent="0.2">
      <c r="A24" s="59" t="s">
        <v>33</v>
      </c>
      <c r="B24" s="59" t="s">
        <v>34</v>
      </c>
      <c r="C24" s="59" t="s">
        <v>18</v>
      </c>
      <c r="D24" s="59" t="s">
        <v>21</v>
      </c>
      <c r="E24" s="2"/>
      <c r="F24" s="59" t="s">
        <v>33</v>
      </c>
      <c r="G24" s="59" t="s">
        <v>34</v>
      </c>
      <c r="H24" s="59" t="s">
        <v>18</v>
      </c>
      <c r="I24" s="59" t="s">
        <v>21</v>
      </c>
      <c r="J24" s="2"/>
    </row>
    <row r="25" spans="1:10" x14ac:dyDescent="0.2">
      <c r="A25" s="9">
        <v>1</v>
      </c>
      <c r="B25" s="9" t="str" cm="1">
        <f t="array" ref="B25">_xlfn._xlws.FILTER(Meldeformular_Namen,Meldeformular!$J$11:$J$60=7,"")</f>
        <v/>
      </c>
      <c r="C25" s="9"/>
      <c r="D25" s="9" t="str" cm="1">
        <f t="array" ref="D25">_xlfn._xlws.FILTER(Meldeformular!$F$11:$F$60,Meldeformular!$J$11:$J$60=7,"")</f>
        <v/>
      </c>
      <c r="E25" s="2"/>
      <c r="F25" s="9">
        <v>1</v>
      </c>
      <c r="G25" s="9" t="str" cm="1">
        <f t="array" ref="G25">_xlfn._xlws.FILTER(Meldeformular_Namen,Meldeformular!$J$11:$J$60=8,"")</f>
        <v/>
      </c>
      <c r="H25" s="9"/>
      <c r="I25" s="9" t="str" cm="1">
        <f t="array" ref="I25">_xlfn._xlws.FILTER(Meldeformular!$F$11:$F$60,Meldeformular!$J$11:$J$60=8,"")</f>
        <v/>
      </c>
      <c r="J25" s="2"/>
    </row>
    <row r="26" spans="1:10" x14ac:dyDescent="0.2">
      <c r="A26" s="9">
        <v>2</v>
      </c>
      <c r="B26" s="9"/>
      <c r="C26" s="9"/>
      <c r="D26" s="9"/>
      <c r="E26" s="2"/>
      <c r="F26" s="9">
        <v>2</v>
      </c>
      <c r="G26" s="9"/>
      <c r="H26" s="9"/>
      <c r="I26" s="9"/>
      <c r="J26" s="2"/>
    </row>
    <row r="27" spans="1:10" x14ac:dyDescent="0.2">
      <c r="A27" s="2"/>
      <c r="B27" s="2"/>
      <c r="C27" s="2"/>
      <c r="D27" s="2"/>
      <c r="E27" s="2"/>
      <c r="F27" s="2"/>
      <c r="G27" s="2"/>
      <c r="H27" s="2"/>
      <c r="I27" s="2"/>
      <c r="J27" s="2"/>
    </row>
    <row r="28" spans="1:10" x14ac:dyDescent="0.2">
      <c r="A28" s="8" t="str">
        <f>"Paarkür 9: " &amp; IF(D31,_xlfn.XLOOKUP(MAX(D30,D31),Einstellungen!$A$32:$A$48,Einstellungen!$B$32:$B$48,"",-1),"")</f>
        <v xml:space="preserve">Paarkür 9: </v>
      </c>
      <c r="B28" s="93" t="s">
        <v>66</v>
      </c>
      <c r="C28" s="94"/>
      <c r="D28" s="95"/>
      <c r="E28" s="2"/>
      <c r="F28" s="8" t="str">
        <f>"Paarkür 10: " &amp; IF(I31,_xlfn.XLOOKUP(MAX(I30,I31),Einstellungen!$A$32:$A$48,Einstellungen!$B$32:$B$48,"",-1),"")</f>
        <v xml:space="preserve">Paarkür 10: </v>
      </c>
      <c r="G28" s="93" t="s">
        <v>66</v>
      </c>
      <c r="H28" s="94"/>
      <c r="I28" s="95"/>
      <c r="J28" s="2"/>
    </row>
    <row r="29" spans="1:10" x14ac:dyDescent="0.2">
      <c r="A29" s="59" t="s">
        <v>33</v>
      </c>
      <c r="B29" s="59" t="s">
        <v>34</v>
      </c>
      <c r="C29" s="59" t="s">
        <v>18</v>
      </c>
      <c r="D29" s="59" t="s">
        <v>21</v>
      </c>
      <c r="E29" s="2"/>
      <c r="F29" s="59" t="s">
        <v>33</v>
      </c>
      <c r="G29" s="59" t="s">
        <v>34</v>
      </c>
      <c r="H29" s="59" t="s">
        <v>18</v>
      </c>
      <c r="I29" s="59" t="s">
        <v>21</v>
      </c>
      <c r="J29" s="2"/>
    </row>
    <row r="30" spans="1:10" x14ac:dyDescent="0.2">
      <c r="A30" s="9">
        <v>1</v>
      </c>
      <c r="B30" s="9" t="str" cm="1">
        <f t="array" ref="B30">_xlfn._xlws.FILTER(Meldeformular_Namen,Meldeformular!$J$11:$J$60=9,"")</f>
        <v/>
      </c>
      <c r="C30" s="9"/>
      <c r="D30" s="9" t="str" cm="1">
        <f t="array" ref="D30">_xlfn._xlws.FILTER(Meldeformular!$F$11:$F$60,Meldeformular!$J$11:$J$60=9,"")</f>
        <v/>
      </c>
      <c r="E30" s="2"/>
      <c r="F30" s="9">
        <v>1</v>
      </c>
      <c r="G30" s="9" t="str" cm="1">
        <f t="array" ref="G30">_xlfn._xlws.FILTER(Meldeformular_Namen,Meldeformular!$J$11:$J$60=10,"")</f>
        <v/>
      </c>
      <c r="H30" s="9"/>
      <c r="I30" s="9" t="str" cm="1">
        <f t="array" ref="I30">_xlfn._xlws.FILTER(Meldeformular!$F$11:$F$60,Meldeformular!$J$11:$J$60=10,"")</f>
        <v/>
      </c>
      <c r="J30" s="2"/>
    </row>
    <row r="31" spans="1:10" x14ac:dyDescent="0.2">
      <c r="A31" s="9">
        <v>2</v>
      </c>
      <c r="B31" s="9"/>
      <c r="C31" s="9"/>
      <c r="D31" s="9"/>
      <c r="E31" s="2"/>
      <c r="F31" s="9">
        <v>2</v>
      </c>
      <c r="G31" s="9"/>
      <c r="H31" s="9"/>
      <c r="I31" s="9"/>
      <c r="J31" s="2"/>
    </row>
    <row r="32" spans="1:10" x14ac:dyDescent="0.2">
      <c r="J32" s="2"/>
    </row>
    <row r="33" spans="1:10" x14ac:dyDescent="0.2">
      <c r="A33" s="8" t="str">
        <f>"Paarkür 11: " &amp; IF(D36,_xlfn.XLOOKUP(MAX(D35,D36),Einstellungen!$A$32:$A$48,Einstellungen!$B$32:$B$48,"",-1),"")</f>
        <v xml:space="preserve">Paarkür 11: </v>
      </c>
      <c r="B33" s="93" t="s">
        <v>66</v>
      </c>
      <c r="C33" s="94"/>
      <c r="D33" s="95"/>
      <c r="E33" s="2"/>
      <c r="F33" s="8" t="str">
        <f>"Paarkür 12: " &amp; IF(I36,_xlfn.XLOOKUP(MAX(I35,I36),Einstellungen!$A$32:$A$48,Einstellungen!$B$32:$B$48,"",-1),"")</f>
        <v xml:space="preserve">Paarkür 12: </v>
      </c>
      <c r="G33" s="93" t="s">
        <v>66</v>
      </c>
      <c r="H33" s="94"/>
      <c r="I33" s="95"/>
      <c r="J33" s="2"/>
    </row>
    <row r="34" spans="1:10" x14ac:dyDescent="0.2">
      <c r="A34" s="59" t="s">
        <v>33</v>
      </c>
      <c r="B34" s="59" t="s">
        <v>34</v>
      </c>
      <c r="C34" s="59" t="s">
        <v>18</v>
      </c>
      <c r="D34" s="59" t="s">
        <v>21</v>
      </c>
      <c r="E34" s="2"/>
      <c r="F34" s="59" t="s">
        <v>33</v>
      </c>
      <c r="G34" s="59" t="s">
        <v>34</v>
      </c>
      <c r="H34" s="59" t="s">
        <v>18</v>
      </c>
      <c r="I34" s="59" t="s">
        <v>21</v>
      </c>
      <c r="J34" s="2"/>
    </row>
    <row r="35" spans="1:10" x14ac:dyDescent="0.2">
      <c r="A35" s="9">
        <v>1</v>
      </c>
      <c r="B35" s="9" t="str" cm="1">
        <f t="array" ref="B35">_xlfn._xlws.FILTER(Meldeformular_Namen,Meldeformular!$J$11:$J$60=11,"")</f>
        <v/>
      </c>
      <c r="C35" s="9"/>
      <c r="D35" s="9" t="str" cm="1">
        <f t="array" ref="D35">_xlfn._xlws.FILTER(Meldeformular!$F$11:$F$60,Meldeformular!$J$11:$J$60=11,"")</f>
        <v/>
      </c>
      <c r="E35" s="2"/>
      <c r="F35" s="9">
        <v>1</v>
      </c>
      <c r="G35" s="9" t="str" cm="1">
        <f t="array" ref="G35">_xlfn._xlws.FILTER(Meldeformular_Namen,Meldeformular!$J$11:$J$60=12,"")</f>
        <v/>
      </c>
      <c r="H35" s="9"/>
      <c r="I35" s="9" t="str" cm="1">
        <f t="array" ref="I35">_xlfn._xlws.FILTER(Meldeformular!$F$11:$F$60,Meldeformular!$J$11:$J$60=12,"")</f>
        <v/>
      </c>
      <c r="J35" s="2"/>
    </row>
    <row r="36" spans="1:10" x14ac:dyDescent="0.2">
      <c r="A36" s="9">
        <v>2</v>
      </c>
      <c r="B36" s="9"/>
      <c r="C36" s="9"/>
      <c r="D36" s="9"/>
      <c r="E36" s="2"/>
      <c r="F36" s="9">
        <v>2</v>
      </c>
      <c r="G36" s="9"/>
      <c r="H36" s="9"/>
      <c r="I36" s="9"/>
      <c r="J36" s="2"/>
    </row>
    <row r="37" spans="1:10" x14ac:dyDescent="0.2">
      <c r="A37" s="2"/>
      <c r="B37" s="2"/>
      <c r="C37" s="2"/>
      <c r="D37" s="2"/>
      <c r="E37" s="2"/>
      <c r="F37" s="2"/>
      <c r="G37" s="2"/>
      <c r="H37" s="2"/>
      <c r="I37" s="2"/>
      <c r="J37" s="2"/>
    </row>
    <row r="38" spans="1:10" x14ac:dyDescent="0.2">
      <c r="A38" s="8" t="str">
        <f>"Paarkür 13: " &amp; IF(D41,_xlfn.XLOOKUP(MAX(D40,D41),Einstellungen!$A$32:$A$48,Einstellungen!$B$32:$B$48,"",-1),"")</f>
        <v xml:space="preserve">Paarkür 13: </v>
      </c>
      <c r="B38" s="93" t="s">
        <v>66</v>
      </c>
      <c r="C38" s="94"/>
      <c r="D38" s="95"/>
      <c r="E38" s="2"/>
      <c r="F38" s="8" t="str">
        <f>"Paarkür 14: " &amp; IF(I41,_xlfn.XLOOKUP(MAX(I40,I41),Einstellungen!$A$32:$A$48,Einstellungen!$B$32:$B$48,"",-1),"")</f>
        <v xml:space="preserve">Paarkür 14: </v>
      </c>
      <c r="G38" s="93" t="s">
        <v>66</v>
      </c>
      <c r="H38" s="94"/>
      <c r="I38" s="95"/>
      <c r="J38" s="2"/>
    </row>
    <row r="39" spans="1:10" x14ac:dyDescent="0.2">
      <c r="A39" s="59" t="s">
        <v>33</v>
      </c>
      <c r="B39" s="59" t="s">
        <v>34</v>
      </c>
      <c r="C39" s="59" t="s">
        <v>18</v>
      </c>
      <c r="D39" s="59" t="s">
        <v>21</v>
      </c>
      <c r="E39" s="2"/>
      <c r="F39" s="59" t="s">
        <v>33</v>
      </c>
      <c r="G39" s="59" t="s">
        <v>34</v>
      </c>
      <c r="H39" s="59" t="s">
        <v>18</v>
      </c>
      <c r="I39" s="59" t="s">
        <v>21</v>
      </c>
      <c r="J39" s="2"/>
    </row>
    <row r="40" spans="1:10" x14ac:dyDescent="0.2">
      <c r="A40" s="9">
        <v>1</v>
      </c>
      <c r="B40" s="9" t="str" cm="1">
        <f t="array" ref="B40">_xlfn._xlws.FILTER(Meldeformular_Namen,Meldeformular!$J$11:$J$60=13,"")</f>
        <v/>
      </c>
      <c r="C40" s="9"/>
      <c r="D40" s="9" t="str" cm="1">
        <f t="array" ref="D40">_xlfn._xlws.FILTER(Meldeformular!$F$11:$F$60,Meldeformular!$J$11:$J$60=13,"")</f>
        <v/>
      </c>
      <c r="E40" s="2"/>
      <c r="F40" s="9">
        <v>1</v>
      </c>
      <c r="G40" s="9" t="str" cm="1">
        <f t="array" ref="G40">_xlfn._xlws.FILTER(Meldeformular_Namen,Meldeformular!$J$11:$J$60=14,"")</f>
        <v/>
      </c>
      <c r="H40" s="9"/>
      <c r="I40" s="9" t="str" cm="1">
        <f t="array" ref="I40">_xlfn._xlws.FILTER(Meldeformular!$F$11:$F$60,Meldeformular!$J$11:$J$60=14,"")</f>
        <v/>
      </c>
      <c r="J40" s="2"/>
    </row>
    <row r="41" spans="1:10" x14ac:dyDescent="0.2">
      <c r="A41" s="9">
        <v>2</v>
      </c>
      <c r="B41" s="9"/>
      <c r="C41" s="9"/>
      <c r="D41" s="9"/>
      <c r="E41" s="2"/>
      <c r="F41" s="9">
        <v>2</v>
      </c>
      <c r="G41" s="9"/>
      <c r="H41" s="9"/>
      <c r="I41" s="9"/>
      <c r="J41" s="2"/>
    </row>
    <row r="42" spans="1:10" x14ac:dyDescent="0.2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x14ac:dyDescent="0.2">
      <c r="A43" s="8" t="str">
        <f>"Paarkür 15: " &amp; IF(D46,_xlfn.XLOOKUP(MAX(D45,D46),Einstellungen!$A$32:$A$48,Einstellungen!$B$32:$B$48,"",-1),"")</f>
        <v xml:space="preserve">Paarkür 15: </v>
      </c>
      <c r="B43" s="93" t="s">
        <v>66</v>
      </c>
      <c r="C43" s="94"/>
      <c r="D43" s="95"/>
      <c r="E43" s="2"/>
      <c r="F43" s="8" t="str">
        <f>"Paarkür 16: " &amp; IF(I46,_xlfn.XLOOKUP(MAX(I45,I46),Einstellungen!$A$32:$A$48,Einstellungen!$B$32:$B$48,"",-1),"")</f>
        <v xml:space="preserve">Paarkür 16: </v>
      </c>
      <c r="G43" s="93" t="s">
        <v>66</v>
      </c>
      <c r="H43" s="94"/>
      <c r="I43" s="95"/>
      <c r="J43" s="2"/>
    </row>
    <row r="44" spans="1:10" x14ac:dyDescent="0.2">
      <c r="A44" s="59" t="s">
        <v>33</v>
      </c>
      <c r="B44" s="59" t="s">
        <v>34</v>
      </c>
      <c r="C44" s="59" t="s">
        <v>18</v>
      </c>
      <c r="D44" s="59" t="s">
        <v>21</v>
      </c>
      <c r="E44" s="2"/>
      <c r="F44" s="59" t="s">
        <v>33</v>
      </c>
      <c r="G44" s="59" t="s">
        <v>34</v>
      </c>
      <c r="H44" s="59" t="s">
        <v>18</v>
      </c>
      <c r="I44" s="59" t="s">
        <v>21</v>
      </c>
      <c r="J44" s="2"/>
    </row>
    <row r="45" spans="1:10" x14ac:dyDescent="0.2">
      <c r="A45" s="9">
        <v>1</v>
      </c>
      <c r="B45" s="9" t="str" cm="1">
        <f t="array" ref="B45">_xlfn._xlws.FILTER(Meldeformular_Namen,Meldeformular!$J$11:$J$60=15,"")</f>
        <v/>
      </c>
      <c r="C45" s="9"/>
      <c r="D45" s="9" t="str" cm="1">
        <f t="array" ref="D45">_xlfn._xlws.FILTER(Meldeformular!$F$11:$F$60,Meldeformular!$J$11:$J$60=15,"")</f>
        <v/>
      </c>
      <c r="E45" s="2"/>
      <c r="F45" s="9">
        <v>1</v>
      </c>
      <c r="G45" s="9" t="str" cm="1">
        <f t="array" ref="G45">_xlfn._xlws.FILTER(Meldeformular_Namen,Meldeformular!$J$11:$J$60=16,"")</f>
        <v/>
      </c>
      <c r="H45" s="9"/>
      <c r="I45" s="9" t="str" cm="1">
        <f t="array" ref="I45">_xlfn._xlws.FILTER(Meldeformular!$F$11:$F$60,Meldeformular!$J$11:$J$60=16,"")</f>
        <v/>
      </c>
      <c r="J45" s="2"/>
    </row>
    <row r="46" spans="1:10" x14ac:dyDescent="0.2">
      <c r="A46" s="9">
        <v>2</v>
      </c>
      <c r="B46" s="9"/>
      <c r="C46" s="9"/>
      <c r="D46" s="9"/>
      <c r="E46" s="2"/>
      <c r="F46" s="9">
        <v>2</v>
      </c>
      <c r="G46" s="9"/>
      <c r="H46" s="9"/>
      <c r="I46" s="9"/>
      <c r="J46" s="2"/>
    </row>
    <row r="47" spans="1:10" x14ac:dyDescent="0.2">
      <c r="A47" s="2"/>
      <c r="B47" s="2"/>
      <c r="C47" s="2"/>
      <c r="D47" s="2"/>
      <c r="E47" s="2"/>
      <c r="F47" s="2"/>
      <c r="G47" s="2"/>
      <c r="H47" s="2"/>
      <c r="I47" s="2"/>
      <c r="J47" s="2"/>
    </row>
    <row r="48" spans="1:10" x14ac:dyDescent="0.2">
      <c r="A48" s="8" t="str">
        <f>"Paarkür 17: " &amp; IF(D51,_xlfn.XLOOKUP(MAX(D50,D51),Einstellungen!$A$32:$A$48,Einstellungen!$B$32:$B$48,"",-1),"")</f>
        <v xml:space="preserve">Paarkür 17: </v>
      </c>
      <c r="B48" s="93" t="s">
        <v>66</v>
      </c>
      <c r="C48" s="94"/>
      <c r="D48" s="95"/>
      <c r="E48" s="2"/>
      <c r="F48" s="8" t="str">
        <f>"Paarkür 18: " &amp; IF(I51,_xlfn.XLOOKUP(MAX(I50,I51),Einstellungen!$A$32:$A$48,Einstellungen!$B$32:$B$48,"",-1),"")</f>
        <v xml:space="preserve">Paarkür 18: </v>
      </c>
      <c r="G48" s="93" t="s">
        <v>66</v>
      </c>
      <c r="H48" s="94"/>
      <c r="I48" s="95"/>
      <c r="J48" s="2"/>
    </row>
    <row r="49" spans="1:10" x14ac:dyDescent="0.2">
      <c r="A49" s="59" t="s">
        <v>33</v>
      </c>
      <c r="B49" s="59" t="s">
        <v>34</v>
      </c>
      <c r="C49" s="59" t="s">
        <v>18</v>
      </c>
      <c r="D49" s="59" t="s">
        <v>21</v>
      </c>
      <c r="E49" s="2"/>
      <c r="F49" s="59" t="s">
        <v>33</v>
      </c>
      <c r="G49" s="59" t="s">
        <v>34</v>
      </c>
      <c r="H49" s="59" t="s">
        <v>18</v>
      </c>
      <c r="I49" s="59" t="s">
        <v>21</v>
      </c>
      <c r="J49" s="2"/>
    </row>
    <row r="50" spans="1:10" x14ac:dyDescent="0.2">
      <c r="A50" s="9">
        <v>1</v>
      </c>
      <c r="B50" s="9" t="str" cm="1">
        <f t="array" ref="B50">_xlfn._xlws.FILTER(Meldeformular_Namen,Meldeformular!$J$11:$J$60=17,"")</f>
        <v/>
      </c>
      <c r="C50" s="9"/>
      <c r="D50" s="9" t="str" cm="1">
        <f t="array" ref="D50">_xlfn._xlws.FILTER(Meldeformular!$F$11:$F$60,Meldeformular!$J$11:$J$60=17,"")</f>
        <v/>
      </c>
      <c r="E50" s="2"/>
      <c r="F50" s="9">
        <v>1</v>
      </c>
      <c r="G50" s="9" t="str" cm="1">
        <f t="array" ref="G50">_xlfn._xlws.FILTER(Meldeformular_Namen,Meldeformular!$J$11:$J$60=18,"")</f>
        <v/>
      </c>
      <c r="H50" s="9"/>
      <c r="I50" s="9" t="str" cm="1">
        <f t="array" ref="I50">_xlfn._xlws.FILTER(Meldeformular!$F$11:$F$60,Meldeformular!$J$11:$J$60=18,"")</f>
        <v/>
      </c>
      <c r="J50" s="2"/>
    </row>
    <row r="51" spans="1:10" x14ac:dyDescent="0.2">
      <c r="A51" s="9">
        <v>2</v>
      </c>
      <c r="B51" s="9"/>
      <c r="C51" s="9"/>
      <c r="D51" s="9"/>
      <c r="E51" s="2"/>
      <c r="F51" s="9">
        <v>2</v>
      </c>
      <c r="G51" s="9"/>
      <c r="H51" s="9"/>
      <c r="I51" s="9"/>
      <c r="J51" s="2"/>
    </row>
    <row r="52" spans="1:1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</row>
    <row r="53" spans="1:10" x14ac:dyDescent="0.2">
      <c r="A53" s="8" t="str">
        <f>"Paarkür 19: " &amp; IF(D56,_xlfn.XLOOKUP(MAX(D55,D56),Einstellungen!$A$32:$A$48,Einstellungen!$B$32:$B$48,"",-1),"")</f>
        <v xml:space="preserve">Paarkür 19: </v>
      </c>
      <c r="B53" s="93" t="s">
        <v>66</v>
      </c>
      <c r="C53" s="94"/>
      <c r="D53" s="95"/>
      <c r="E53" s="2"/>
      <c r="F53" s="8" t="str">
        <f>"Paarkür 20: " &amp; IF(I56,_xlfn.XLOOKUP(MAX(I55,I56),Einstellungen!$A$32:$A$48,Einstellungen!$B$32:$B$48,"",-1),"")</f>
        <v xml:space="preserve">Paarkür 20: </v>
      </c>
      <c r="G53" s="93" t="s">
        <v>66</v>
      </c>
      <c r="H53" s="94"/>
      <c r="I53" s="95"/>
      <c r="J53" s="2"/>
    </row>
    <row r="54" spans="1:10" x14ac:dyDescent="0.2">
      <c r="A54" s="59" t="s">
        <v>33</v>
      </c>
      <c r="B54" s="59" t="s">
        <v>34</v>
      </c>
      <c r="C54" s="59" t="s">
        <v>18</v>
      </c>
      <c r="D54" s="59" t="s">
        <v>21</v>
      </c>
      <c r="E54" s="2"/>
      <c r="F54" s="59" t="s">
        <v>33</v>
      </c>
      <c r="G54" s="59" t="s">
        <v>34</v>
      </c>
      <c r="H54" s="59" t="s">
        <v>18</v>
      </c>
      <c r="I54" s="59" t="s">
        <v>21</v>
      </c>
      <c r="J54" s="2"/>
    </row>
    <row r="55" spans="1:10" x14ac:dyDescent="0.2">
      <c r="A55" s="9">
        <v>1</v>
      </c>
      <c r="B55" s="9" t="str" cm="1">
        <f t="array" ref="B55">_xlfn._xlws.FILTER(Meldeformular_Namen,Meldeformular!$J$11:$J$60=19,"")</f>
        <v/>
      </c>
      <c r="C55" s="9"/>
      <c r="D55" s="9" t="str" cm="1">
        <f t="array" ref="D55">_xlfn._xlws.FILTER(Meldeformular!$F$11:$F$60,Meldeformular!$J$11:$J$60=19,"")</f>
        <v/>
      </c>
      <c r="E55" s="2"/>
      <c r="F55" s="9">
        <v>1</v>
      </c>
      <c r="G55" s="9" t="str" cm="1">
        <f t="array" ref="G55">_xlfn._xlws.FILTER(Meldeformular_Namen,Meldeformular!$J$11:$J$60=20,"")</f>
        <v/>
      </c>
      <c r="H55" s="9"/>
      <c r="I55" s="9" t="str" cm="1">
        <f t="array" ref="I55">_xlfn._xlws.FILTER(Meldeformular!$F$11:$F$60,Meldeformular!$J$11:$J$60=20,"")</f>
        <v/>
      </c>
      <c r="J55" s="2"/>
    </row>
    <row r="56" spans="1:10" x14ac:dyDescent="0.2">
      <c r="A56" s="9">
        <v>2</v>
      </c>
      <c r="B56" s="9"/>
      <c r="C56" s="9"/>
      <c r="D56" s="9"/>
      <c r="E56" s="2"/>
      <c r="F56" s="9">
        <v>2</v>
      </c>
      <c r="G56" s="9"/>
      <c r="H56" s="9"/>
      <c r="I56" s="9"/>
      <c r="J56" s="2"/>
    </row>
    <row r="57" spans="1:1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</row>
  </sheetData>
  <sheetProtection algorithmName="SHA-512" hashValue="w/e1p7AZv3D0Qv2LEVJK6Wr500hQQo4WsU9EbcJ9wbIZen568p1D7tjBhCRvNjmIZVXukafwDVTetnpEY/imVw==" saltValue="aSotcdIv+ennau9jPpWZOQ==" spinCount="100000" sheet="1" selectLockedCells="1"/>
  <mergeCells count="27">
    <mergeCell ref="B53:D53"/>
    <mergeCell ref="G53:I53"/>
    <mergeCell ref="B38:D38"/>
    <mergeCell ref="G38:I38"/>
    <mergeCell ref="B43:D43"/>
    <mergeCell ref="G43:I43"/>
    <mergeCell ref="B48:D48"/>
    <mergeCell ref="G48:I48"/>
    <mergeCell ref="B23:D23"/>
    <mergeCell ref="G23:I23"/>
    <mergeCell ref="B28:D28"/>
    <mergeCell ref="G28:I28"/>
    <mergeCell ref="B33:D33"/>
    <mergeCell ref="G33:I33"/>
    <mergeCell ref="B18:D18"/>
    <mergeCell ref="G18:I18"/>
    <mergeCell ref="B8:D8"/>
    <mergeCell ref="G8:I8"/>
    <mergeCell ref="B13:D13"/>
    <mergeCell ref="G13:I13"/>
    <mergeCell ref="G6:I6"/>
    <mergeCell ref="G12:I12"/>
    <mergeCell ref="A1:J2"/>
    <mergeCell ref="A3:J4"/>
    <mergeCell ref="B5:D5"/>
    <mergeCell ref="E5:J5"/>
    <mergeCell ref="B12:D1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80E82-9151-4ACB-9871-D11EBAD61913}">
  <dimension ref="A1:J30"/>
  <sheetViews>
    <sheetView zoomScale="140" zoomScaleNormal="140" workbookViewId="0">
      <selection activeCell="B8" sqref="B8:D8"/>
    </sheetView>
  </sheetViews>
  <sheetFormatPr baseColWidth="10" defaultColWidth="0" defaultRowHeight="15" zeroHeight="1" x14ac:dyDescent="0.2"/>
  <cols>
    <col min="1" max="1" width="18.5" customWidth="1"/>
    <col min="2" max="5" width="11.5" customWidth="1"/>
    <col min="6" max="6" width="18" customWidth="1"/>
    <col min="7" max="10" width="11.5" customWidth="1"/>
    <col min="11" max="16384" width="11.5" hidden="1"/>
  </cols>
  <sheetData>
    <row r="1" spans="1:10" x14ac:dyDescent="0.2">
      <c r="A1" s="85" t="str">
        <f>Einstellungen!B5</f>
        <v>Württembergische Meisterschaft und Edelweiß Cup</v>
      </c>
      <c r="B1" s="85"/>
      <c r="C1" s="85"/>
      <c r="D1" s="85"/>
      <c r="E1" s="85"/>
      <c r="F1" s="85"/>
      <c r="G1" s="85"/>
      <c r="H1" s="85"/>
      <c r="I1" s="85"/>
      <c r="J1" s="85"/>
    </row>
    <row r="2" spans="1:10" x14ac:dyDescent="0.2">
      <c r="A2" s="85"/>
      <c r="B2" s="85"/>
      <c r="C2" s="85"/>
      <c r="D2" s="85"/>
      <c r="E2" s="85"/>
      <c r="F2" s="85"/>
      <c r="G2" s="85"/>
      <c r="H2" s="85"/>
      <c r="I2" s="85"/>
      <c r="J2" s="85"/>
    </row>
    <row r="3" spans="1:10" x14ac:dyDescent="0.2">
      <c r="A3" s="80">
        <f>Einstellungen!B6</f>
        <v>46151</v>
      </c>
      <c r="B3" s="81"/>
      <c r="C3" s="81"/>
      <c r="D3" s="81"/>
      <c r="E3" s="81"/>
      <c r="F3" s="81"/>
      <c r="G3" s="81"/>
      <c r="H3" s="81"/>
      <c r="I3" s="81"/>
      <c r="J3" s="81"/>
    </row>
    <row r="4" spans="1:10" x14ac:dyDescent="0.2">
      <c r="A4" s="81"/>
      <c r="B4" s="81"/>
      <c r="C4" s="81"/>
      <c r="D4" s="81"/>
      <c r="E4" s="81"/>
      <c r="F4" s="81"/>
      <c r="G4" s="81"/>
      <c r="H4" s="81"/>
      <c r="I4" s="81"/>
      <c r="J4" s="81"/>
    </row>
    <row r="5" spans="1:10" ht="19" x14ac:dyDescent="0.2">
      <c r="A5" s="52" t="s">
        <v>0</v>
      </c>
      <c r="B5" s="86">
        <f>'Allgemeine Informationen'!C6</f>
        <v>0</v>
      </c>
      <c r="C5" s="86"/>
      <c r="D5" s="86"/>
      <c r="E5" s="91" t="s">
        <v>26</v>
      </c>
      <c r="F5" s="91"/>
      <c r="G5" s="91"/>
      <c r="H5" s="91"/>
      <c r="I5" s="91"/>
      <c r="J5" s="91"/>
    </row>
    <row r="6" spans="1:10" x14ac:dyDescent="0.2">
      <c r="A6" s="2"/>
      <c r="B6" s="92"/>
      <c r="C6" s="92"/>
      <c r="D6" s="92"/>
      <c r="E6" s="2"/>
      <c r="F6" s="2"/>
      <c r="G6" s="92"/>
      <c r="H6" s="92"/>
      <c r="I6" s="92"/>
      <c r="J6" s="2"/>
    </row>
    <row r="7" spans="1:10" x14ac:dyDescent="0.2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x14ac:dyDescent="0.2">
      <c r="A8" s="8" t="str">
        <f>"Kleingruppe 1: " &amp; IF(D11,_xlfn.XLOOKUP(MAX(D10:D17),Einstellungen!$A$51:$A$52,Einstellungen!$B$51:$B$52,"",-1),"")</f>
        <v xml:space="preserve">Kleingruppe 1: </v>
      </c>
      <c r="B8" s="93" t="s">
        <v>66</v>
      </c>
      <c r="C8" s="94"/>
      <c r="D8" s="95"/>
      <c r="E8" s="2"/>
      <c r="F8" s="8" t="str">
        <f>"Kleingruppe 2: " &amp; IF(I11,_xlfn.XLOOKUP(MAX(I10:I17),Einstellungen!$A$51:$A$52,Einstellungen!$B$51:$B$52,"",-1),"")</f>
        <v xml:space="preserve">Kleingruppe 2: </v>
      </c>
      <c r="G8" s="93" t="s">
        <v>66</v>
      </c>
      <c r="H8" s="94"/>
      <c r="I8" s="95"/>
      <c r="J8" s="2"/>
    </row>
    <row r="9" spans="1:10" x14ac:dyDescent="0.2">
      <c r="A9" s="59" t="s">
        <v>33</v>
      </c>
      <c r="B9" s="59" t="s">
        <v>34</v>
      </c>
      <c r="C9" s="59" t="s">
        <v>18</v>
      </c>
      <c r="D9" s="59" t="s">
        <v>21</v>
      </c>
      <c r="E9" s="2"/>
      <c r="F9" s="59" t="s">
        <v>33</v>
      </c>
      <c r="G9" s="59" t="s">
        <v>34</v>
      </c>
      <c r="H9" s="59" t="s">
        <v>18</v>
      </c>
      <c r="I9" s="59" t="s">
        <v>21</v>
      </c>
      <c r="J9" s="2"/>
    </row>
    <row r="10" spans="1:10" x14ac:dyDescent="0.2">
      <c r="A10" s="9">
        <v>1</v>
      </c>
      <c r="B10" s="9" t="str" cm="1">
        <f t="array" ref="B10">_xlfn._xlws.FILTER(Meldeformular_Namen,Meldeformular!$K$11:$K$60=1,"")</f>
        <v/>
      </c>
      <c r="C10" s="9"/>
      <c r="D10" s="9" t="str" cm="1">
        <f t="array" ref="D10">_xlfn._xlws.FILTER(Meldeformular!$F$11:$F$60,Meldeformular!$K$11:$K$60=1,"")</f>
        <v/>
      </c>
      <c r="E10" s="2"/>
      <c r="F10" s="9">
        <v>1</v>
      </c>
      <c r="G10" s="9" t="str" cm="1">
        <f t="array" ref="G10">_xlfn._xlws.FILTER(Meldeformular_Namen,Meldeformular!$K$11:$K$60=2,"")</f>
        <v/>
      </c>
      <c r="H10" s="9"/>
      <c r="I10" s="9" t="str" cm="1">
        <f t="array" ref="I10">_xlfn._xlws.FILTER(Meldeformular!$F$11:$F$60,Meldeformular!$K$11:$K$60=2,"")</f>
        <v/>
      </c>
      <c r="J10" s="2"/>
    </row>
    <row r="11" spans="1:10" x14ac:dyDescent="0.2">
      <c r="A11" s="9">
        <v>2</v>
      </c>
      <c r="B11" s="9"/>
      <c r="C11" s="9"/>
      <c r="D11" s="9"/>
      <c r="E11" s="2"/>
      <c r="F11" s="9">
        <v>2</v>
      </c>
      <c r="G11" s="9"/>
      <c r="H11" s="9"/>
      <c r="I11" s="9"/>
      <c r="J11" s="2"/>
    </row>
    <row r="12" spans="1:10" x14ac:dyDescent="0.2">
      <c r="A12" s="9">
        <v>3</v>
      </c>
      <c r="B12" s="9"/>
      <c r="C12" s="9"/>
      <c r="D12" s="9"/>
      <c r="E12" s="2"/>
      <c r="F12" s="9">
        <v>3</v>
      </c>
      <c r="G12" s="9"/>
      <c r="H12" s="9"/>
      <c r="I12" s="9"/>
      <c r="J12" s="2"/>
    </row>
    <row r="13" spans="1:10" x14ac:dyDescent="0.2">
      <c r="A13" s="9">
        <v>4</v>
      </c>
      <c r="B13" s="9"/>
      <c r="C13" s="9"/>
      <c r="D13" s="9"/>
      <c r="E13" s="2"/>
      <c r="F13" s="9">
        <v>4</v>
      </c>
      <c r="G13" s="9"/>
      <c r="H13" s="9"/>
      <c r="I13" s="9"/>
      <c r="J13" s="2"/>
    </row>
    <row r="14" spans="1:10" x14ac:dyDescent="0.2">
      <c r="A14" s="9">
        <v>5</v>
      </c>
      <c r="B14" s="9"/>
      <c r="C14" s="9"/>
      <c r="D14" s="9"/>
      <c r="E14" s="2"/>
      <c r="F14" s="9">
        <v>5</v>
      </c>
      <c r="G14" s="9"/>
      <c r="H14" s="9"/>
      <c r="I14" s="9"/>
      <c r="J14" s="2"/>
    </row>
    <row r="15" spans="1:10" x14ac:dyDescent="0.2">
      <c r="A15" s="9">
        <v>6</v>
      </c>
      <c r="B15" s="9"/>
      <c r="C15" s="9"/>
      <c r="D15" s="9"/>
      <c r="E15" s="2"/>
      <c r="F15" s="9">
        <v>6</v>
      </c>
      <c r="G15" s="9"/>
      <c r="H15" s="9"/>
      <c r="I15" s="9"/>
      <c r="J15" s="2"/>
    </row>
    <row r="16" spans="1:10" x14ac:dyDescent="0.2">
      <c r="A16" s="9">
        <v>7</v>
      </c>
      <c r="B16" s="9"/>
      <c r="C16" s="9"/>
      <c r="D16" s="9"/>
      <c r="E16" s="2"/>
      <c r="F16" s="9">
        <v>7</v>
      </c>
      <c r="G16" s="9"/>
      <c r="H16" s="9"/>
      <c r="I16" s="9"/>
      <c r="J16" s="2"/>
    </row>
    <row r="17" spans="1:10" x14ac:dyDescent="0.2">
      <c r="A17" s="9">
        <v>8</v>
      </c>
      <c r="B17" s="9"/>
      <c r="C17" s="9"/>
      <c r="D17" s="9"/>
      <c r="F17" s="9">
        <v>8</v>
      </c>
      <c r="G17" s="9"/>
      <c r="H17" s="9"/>
      <c r="I17" s="9"/>
      <c r="J17" s="2"/>
    </row>
    <row r="18" spans="1:10" x14ac:dyDescent="0.2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 x14ac:dyDescent="0.2">
      <c r="A19" s="2"/>
      <c r="B19" s="92"/>
      <c r="C19" s="92"/>
      <c r="D19" s="92"/>
      <c r="E19" s="2"/>
      <c r="F19" s="2"/>
      <c r="G19" s="92"/>
      <c r="H19" s="92"/>
      <c r="I19" s="92"/>
      <c r="J19" s="2"/>
    </row>
    <row r="20" spans="1:10" x14ac:dyDescent="0.2">
      <c r="A20" s="8" t="str">
        <f>"Kleingruppe 3: " &amp; IF(D23,_xlfn.XLOOKUP(MAX(D22:D29),Einstellungen!$A$51:$A$52,Einstellungen!$B$51:$B$52,"",-1),"")</f>
        <v xml:space="preserve">Kleingruppe 3: </v>
      </c>
      <c r="B20" s="93" t="s">
        <v>66</v>
      </c>
      <c r="C20" s="94"/>
      <c r="D20" s="95"/>
      <c r="E20" s="2"/>
      <c r="F20" s="8" t="str">
        <f>"Kleingruppe 1: " &amp; IF(I23,_xlfn.XLOOKUP(MAX(I22:I29),Einstellungen!$A$51:$A$52,Einstellungen!$B$51:$B$52,"",-1),"")</f>
        <v xml:space="preserve">Kleingruppe 1: </v>
      </c>
      <c r="G20" s="93" t="s">
        <v>66</v>
      </c>
      <c r="H20" s="94"/>
      <c r="I20" s="95"/>
      <c r="J20" s="2"/>
    </row>
    <row r="21" spans="1:10" x14ac:dyDescent="0.2">
      <c r="A21" s="59" t="s">
        <v>33</v>
      </c>
      <c r="B21" s="59" t="s">
        <v>34</v>
      </c>
      <c r="C21" s="59" t="s">
        <v>18</v>
      </c>
      <c r="D21" s="59" t="s">
        <v>21</v>
      </c>
      <c r="E21" s="2"/>
      <c r="F21" s="59" t="s">
        <v>33</v>
      </c>
      <c r="G21" s="59" t="s">
        <v>34</v>
      </c>
      <c r="H21" s="59" t="s">
        <v>18</v>
      </c>
      <c r="I21" s="59" t="s">
        <v>21</v>
      </c>
      <c r="J21" s="2"/>
    </row>
    <row r="22" spans="1:10" x14ac:dyDescent="0.2">
      <c r="A22" s="9">
        <v>1</v>
      </c>
      <c r="B22" s="9" t="str" cm="1">
        <f t="array" ref="B22">_xlfn._xlws.FILTER(Meldeformular_Namen,Meldeformular!$K$11:$K$60=3,"")</f>
        <v/>
      </c>
      <c r="C22" s="9"/>
      <c r="D22" s="9" t="str" cm="1">
        <f t="array" ref="D22">_xlfn._xlws.FILTER(Meldeformular!$F$11:$F$60,Meldeformular!$K$11:$K$60=3,"")</f>
        <v/>
      </c>
      <c r="E22" s="2"/>
      <c r="F22" s="9">
        <v>1</v>
      </c>
      <c r="G22" s="9" t="str" cm="1">
        <f t="array" ref="G22">_xlfn._xlws.FILTER(Meldeformular_Namen,Meldeformular!$K$11:$K$60=4,"")</f>
        <v/>
      </c>
      <c r="H22" s="9"/>
      <c r="I22" s="9" t="str" cm="1">
        <f t="array" ref="I22">_xlfn._xlws.FILTER(Meldeformular!$F$11:$F$60,Meldeformular!$K$11:$K$60=4,"")</f>
        <v/>
      </c>
      <c r="J22" s="2"/>
    </row>
    <row r="23" spans="1:10" x14ac:dyDescent="0.2">
      <c r="A23" s="9">
        <v>2</v>
      </c>
      <c r="B23" s="9"/>
      <c r="C23" s="9"/>
      <c r="D23" s="9"/>
      <c r="E23" s="2"/>
      <c r="F23" s="9">
        <v>2</v>
      </c>
      <c r="G23" s="9"/>
      <c r="H23" s="9"/>
      <c r="I23" s="9"/>
      <c r="J23" s="2"/>
    </row>
    <row r="24" spans="1:10" x14ac:dyDescent="0.2">
      <c r="A24" s="9">
        <v>3</v>
      </c>
      <c r="B24" s="9"/>
      <c r="C24" s="9"/>
      <c r="D24" s="9"/>
      <c r="E24" s="2"/>
      <c r="F24" s="9">
        <v>3</v>
      </c>
      <c r="G24" s="9"/>
      <c r="H24" s="9"/>
      <c r="I24" s="9"/>
      <c r="J24" s="2"/>
    </row>
    <row r="25" spans="1:10" x14ac:dyDescent="0.2">
      <c r="A25" s="9">
        <v>4</v>
      </c>
      <c r="B25" s="9"/>
      <c r="C25" s="9"/>
      <c r="D25" s="9"/>
      <c r="E25" s="2"/>
      <c r="F25" s="9">
        <v>4</v>
      </c>
      <c r="G25" s="9"/>
      <c r="H25" s="9"/>
      <c r="I25" s="9"/>
      <c r="J25" s="2"/>
    </row>
    <row r="26" spans="1:10" x14ac:dyDescent="0.2">
      <c r="A26" s="9">
        <v>5</v>
      </c>
      <c r="B26" s="9"/>
      <c r="C26" s="9"/>
      <c r="D26" s="9"/>
      <c r="E26" s="2"/>
      <c r="F26" s="9">
        <v>5</v>
      </c>
      <c r="G26" s="9"/>
      <c r="H26" s="9"/>
      <c r="I26" s="9"/>
      <c r="J26" s="2"/>
    </row>
    <row r="27" spans="1:10" x14ac:dyDescent="0.2">
      <c r="A27" s="9">
        <v>6</v>
      </c>
      <c r="B27" s="9"/>
      <c r="C27" s="9"/>
      <c r="D27" s="9"/>
      <c r="E27" s="2"/>
      <c r="F27" s="9">
        <v>6</v>
      </c>
      <c r="G27" s="9"/>
      <c r="H27" s="9"/>
      <c r="I27" s="9"/>
      <c r="J27" s="2"/>
    </row>
    <row r="28" spans="1:10" x14ac:dyDescent="0.2">
      <c r="A28" s="9">
        <v>7</v>
      </c>
      <c r="B28" s="9"/>
      <c r="C28" s="9"/>
      <c r="D28" s="9"/>
      <c r="E28" s="2"/>
      <c r="F28" s="9">
        <v>7</v>
      </c>
      <c r="G28" s="9"/>
      <c r="H28" s="9"/>
      <c r="I28" s="9"/>
      <c r="J28" s="2"/>
    </row>
    <row r="29" spans="1:10" x14ac:dyDescent="0.2">
      <c r="A29" s="9">
        <v>8</v>
      </c>
      <c r="B29" s="9"/>
      <c r="C29" s="9"/>
      <c r="D29" s="9"/>
      <c r="E29" s="2"/>
      <c r="F29" s="9">
        <v>8</v>
      </c>
      <c r="G29" s="9"/>
      <c r="H29" s="9"/>
      <c r="I29" s="9"/>
      <c r="J29" s="2"/>
    </row>
    <row r="30" spans="1:10" x14ac:dyDescent="0.2">
      <c r="A30" s="2"/>
      <c r="B30" s="2"/>
      <c r="C30" s="2"/>
      <c r="D30" s="2"/>
      <c r="E30" s="2"/>
      <c r="F30" s="2"/>
      <c r="G30" s="2"/>
      <c r="H30" s="2"/>
      <c r="I30" s="2"/>
      <c r="J30" s="2"/>
    </row>
  </sheetData>
  <sheetProtection algorithmName="SHA-512" hashValue="V1kR0gh0yRmQU6KR1Mmg33AfrJIO7PO1pyBk7EfYbRwyR1RD8SsIe5vAzd8knkFAOVWwnFpgW5aFwrAveTFH/w==" saltValue="O44Q8Kt/Fjhdai+4AAFxBw==" spinCount="100000" sheet="1" selectLockedCells="1"/>
  <mergeCells count="12">
    <mergeCell ref="B6:D6"/>
    <mergeCell ref="G6:I6"/>
    <mergeCell ref="A1:J2"/>
    <mergeCell ref="A3:J4"/>
    <mergeCell ref="B5:D5"/>
    <mergeCell ref="E5:J5"/>
    <mergeCell ref="G20:I20"/>
    <mergeCell ref="G8:I8"/>
    <mergeCell ref="B8:D8"/>
    <mergeCell ref="B20:D20"/>
    <mergeCell ref="B19:D19"/>
    <mergeCell ref="G19:I19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6DAF0-C314-44FE-AC27-A30BE2A98356}">
  <dimension ref="A1:J61"/>
  <sheetViews>
    <sheetView zoomScale="120" zoomScaleNormal="120" workbookViewId="0">
      <selection activeCell="B8" sqref="B8:D8"/>
    </sheetView>
  </sheetViews>
  <sheetFormatPr baseColWidth="10" defaultColWidth="0" defaultRowHeight="15" zeroHeight="1" x14ac:dyDescent="0.2"/>
  <cols>
    <col min="1" max="1" width="18.6640625" customWidth="1"/>
    <col min="2" max="5" width="11.5" customWidth="1"/>
    <col min="6" max="6" width="17.83203125" customWidth="1"/>
    <col min="7" max="10" width="11.5" customWidth="1"/>
    <col min="11" max="16384" width="11.5" hidden="1"/>
  </cols>
  <sheetData>
    <row r="1" spans="1:10" x14ac:dyDescent="0.2">
      <c r="A1" s="85" t="str">
        <f>Einstellungen!B5</f>
        <v>Württembergische Meisterschaft und Edelweiß Cup</v>
      </c>
      <c r="B1" s="85"/>
      <c r="C1" s="85"/>
      <c r="D1" s="85"/>
      <c r="E1" s="85"/>
      <c r="F1" s="85"/>
      <c r="G1" s="85"/>
      <c r="H1" s="85"/>
      <c r="I1" s="85"/>
      <c r="J1" s="85"/>
    </row>
    <row r="2" spans="1:10" x14ac:dyDescent="0.2">
      <c r="A2" s="85"/>
      <c r="B2" s="85"/>
      <c r="C2" s="85"/>
      <c r="D2" s="85"/>
      <c r="E2" s="85"/>
      <c r="F2" s="85"/>
      <c r="G2" s="85"/>
      <c r="H2" s="85"/>
      <c r="I2" s="85"/>
      <c r="J2" s="85"/>
    </row>
    <row r="3" spans="1:10" x14ac:dyDescent="0.2">
      <c r="A3" s="80">
        <f>Einstellungen!B6</f>
        <v>46151</v>
      </c>
      <c r="B3" s="81"/>
      <c r="C3" s="81"/>
      <c r="D3" s="81"/>
      <c r="E3" s="81"/>
      <c r="F3" s="81"/>
      <c r="G3" s="81"/>
      <c r="H3" s="81"/>
      <c r="I3" s="81"/>
      <c r="J3" s="81"/>
    </row>
    <row r="4" spans="1:10" x14ac:dyDescent="0.2">
      <c r="A4" s="81"/>
      <c r="B4" s="81"/>
      <c r="C4" s="81"/>
      <c r="D4" s="81"/>
      <c r="E4" s="81"/>
      <c r="F4" s="81"/>
      <c r="G4" s="81"/>
      <c r="H4" s="81"/>
      <c r="I4" s="81"/>
      <c r="J4" s="81"/>
    </row>
    <row r="5" spans="1:10" ht="19" x14ac:dyDescent="0.2">
      <c r="A5" s="52" t="s">
        <v>0</v>
      </c>
      <c r="B5" s="86">
        <f>'Allgemeine Informationen'!C6</f>
        <v>0</v>
      </c>
      <c r="C5" s="86"/>
      <c r="D5" s="86"/>
      <c r="E5" s="91" t="s">
        <v>27</v>
      </c>
      <c r="F5" s="91"/>
      <c r="G5" s="91"/>
      <c r="H5" s="91"/>
      <c r="I5" s="91"/>
      <c r="J5" s="91"/>
    </row>
    <row r="6" spans="1:10" x14ac:dyDescent="0.2">
      <c r="A6" s="2"/>
      <c r="B6" s="92"/>
      <c r="C6" s="92"/>
      <c r="D6" s="92"/>
      <c r="E6" s="2"/>
      <c r="F6" s="2"/>
      <c r="G6" s="92"/>
      <c r="H6" s="92"/>
      <c r="I6" s="92"/>
      <c r="J6" s="2"/>
    </row>
    <row r="7" spans="1:10" x14ac:dyDescent="0.2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x14ac:dyDescent="0.2">
      <c r="A8" s="8" t="str">
        <f>"Großgruppe 1: " &amp; IF(D11,_xlfn.XLOOKUP(MAX(D10:D17),Einstellungen!$A$51:$A$52,Einstellungen!$B$51:$B$52,"",-1),"")</f>
        <v xml:space="preserve">Großgruppe 1: </v>
      </c>
      <c r="B8" s="93" t="s">
        <v>66</v>
      </c>
      <c r="C8" s="94"/>
      <c r="D8" s="95"/>
      <c r="E8" s="2"/>
      <c r="F8" s="8" t="str">
        <f>"Großgruppe 2: " &amp; IF(I11,_xlfn.XLOOKUP(MAX(I10:I17),Einstellungen!$A$51:$A$52,Einstellungen!$B$51:$B$52,"",-1),"")</f>
        <v xml:space="preserve">Großgruppe 2: </v>
      </c>
      <c r="G8" s="93" t="s">
        <v>66</v>
      </c>
      <c r="H8" s="94"/>
      <c r="I8" s="95"/>
      <c r="J8" s="2"/>
    </row>
    <row r="9" spans="1:10" x14ac:dyDescent="0.2">
      <c r="A9" s="59" t="s">
        <v>33</v>
      </c>
      <c r="B9" s="59" t="s">
        <v>34</v>
      </c>
      <c r="C9" s="59" t="s">
        <v>18</v>
      </c>
      <c r="D9" s="59" t="s">
        <v>21</v>
      </c>
      <c r="E9" s="2"/>
      <c r="F9" s="59" t="s">
        <v>33</v>
      </c>
      <c r="G9" s="59" t="s">
        <v>34</v>
      </c>
      <c r="H9" s="59" t="s">
        <v>18</v>
      </c>
      <c r="I9" s="59" t="s">
        <v>21</v>
      </c>
      <c r="J9" s="2"/>
    </row>
    <row r="10" spans="1:10" x14ac:dyDescent="0.2">
      <c r="A10" s="9">
        <v>1</v>
      </c>
      <c r="B10" s="9" t="str" cm="1">
        <f t="array" ref="B10">_xlfn._xlws.FILTER(Meldeformular!$B$11:$C$60,Meldeformular!$L$11:$L$60=1,"")</f>
        <v/>
      </c>
      <c r="C10" s="9"/>
      <c r="D10" s="9" t="str" cm="1">
        <f t="array" ref="D10">_xlfn._xlws.FILTER(Meldeformular!$F$11:$F$60,Meldeformular!$L$11:$L$60=1,"")</f>
        <v/>
      </c>
      <c r="E10" s="2"/>
      <c r="F10" s="9">
        <v>1</v>
      </c>
      <c r="G10" s="9" t="str" cm="1">
        <f t="array" ref="G10">_xlfn._xlws.FILTER(Meldeformular!$B$11:$C$60,Meldeformular!$L$11:$L$60=2,"")</f>
        <v/>
      </c>
      <c r="H10" s="9"/>
      <c r="I10" s="9" t="str" cm="1">
        <f t="array" ref="I10">_xlfn._xlws.FILTER(Meldeformular!$F$11:$F$60,Meldeformular!$L$11:$L$60=2,"")</f>
        <v/>
      </c>
      <c r="J10" s="2"/>
    </row>
    <row r="11" spans="1:10" x14ac:dyDescent="0.2">
      <c r="A11" s="9">
        <v>2</v>
      </c>
      <c r="B11" s="9"/>
      <c r="C11" s="9"/>
      <c r="D11" s="9"/>
      <c r="E11" s="2"/>
      <c r="F11" s="9">
        <v>2</v>
      </c>
      <c r="G11" s="9"/>
      <c r="H11" s="9"/>
      <c r="I11" s="9"/>
      <c r="J11" s="2"/>
    </row>
    <row r="12" spans="1:10" x14ac:dyDescent="0.2">
      <c r="A12" s="9">
        <v>3</v>
      </c>
      <c r="B12" s="9"/>
      <c r="C12" s="9"/>
      <c r="D12" s="9"/>
      <c r="E12" s="2"/>
      <c r="F12" s="9">
        <v>3</v>
      </c>
      <c r="G12" s="9"/>
      <c r="H12" s="9"/>
      <c r="I12" s="9"/>
      <c r="J12" s="2"/>
    </row>
    <row r="13" spans="1:10" x14ac:dyDescent="0.2">
      <c r="A13" s="9">
        <v>4</v>
      </c>
      <c r="B13" s="9"/>
      <c r="C13" s="9"/>
      <c r="D13" s="9"/>
      <c r="E13" s="2"/>
      <c r="F13" s="9">
        <v>4</v>
      </c>
      <c r="G13" s="9"/>
      <c r="H13" s="9"/>
      <c r="I13" s="9"/>
      <c r="J13" s="2"/>
    </row>
    <row r="14" spans="1:10" x14ac:dyDescent="0.2">
      <c r="A14" s="9">
        <v>5</v>
      </c>
      <c r="B14" s="9"/>
      <c r="C14" s="9"/>
      <c r="D14" s="9"/>
      <c r="E14" s="2"/>
      <c r="F14" s="9">
        <v>5</v>
      </c>
      <c r="G14" s="9"/>
      <c r="H14" s="9"/>
      <c r="I14" s="9"/>
      <c r="J14" s="2"/>
    </row>
    <row r="15" spans="1:10" x14ac:dyDescent="0.2">
      <c r="A15" s="9">
        <v>6</v>
      </c>
      <c r="B15" s="9"/>
      <c r="C15" s="9"/>
      <c r="D15" s="9"/>
      <c r="E15" s="2"/>
      <c r="F15" s="9">
        <v>6</v>
      </c>
      <c r="G15" s="9"/>
      <c r="H15" s="9"/>
      <c r="I15" s="9"/>
      <c r="J15" s="2"/>
    </row>
    <row r="16" spans="1:10" x14ac:dyDescent="0.2">
      <c r="A16" s="9">
        <v>7</v>
      </c>
      <c r="B16" s="9"/>
      <c r="C16" s="9"/>
      <c r="D16" s="9"/>
      <c r="E16" s="2"/>
      <c r="F16" s="9">
        <v>7</v>
      </c>
      <c r="G16" s="9"/>
      <c r="H16" s="9"/>
      <c r="I16" s="9"/>
      <c r="J16" s="2"/>
    </row>
    <row r="17" spans="1:10" x14ac:dyDescent="0.2">
      <c r="A17" s="9">
        <v>8</v>
      </c>
      <c r="B17" s="9"/>
      <c r="C17" s="9"/>
      <c r="D17" s="9"/>
      <c r="E17" s="2"/>
      <c r="F17" s="9">
        <v>8</v>
      </c>
      <c r="G17" s="9"/>
      <c r="H17" s="9"/>
      <c r="I17" s="9"/>
      <c r="J17" s="2"/>
    </row>
    <row r="18" spans="1:10" x14ac:dyDescent="0.2">
      <c r="A18" s="9">
        <v>9</v>
      </c>
      <c r="B18" s="9"/>
      <c r="C18" s="9"/>
      <c r="D18" s="9"/>
      <c r="E18" s="2"/>
      <c r="F18" s="9">
        <v>9</v>
      </c>
      <c r="G18" s="9"/>
      <c r="H18" s="9"/>
      <c r="I18" s="9"/>
      <c r="J18" s="2"/>
    </row>
    <row r="19" spans="1:10" x14ac:dyDescent="0.2">
      <c r="A19" s="9">
        <v>10</v>
      </c>
      <c r="B19" s="9"/>
      <c r="C19" s="9"/>
      <c r="D19" s="9"/>
      <c r="E19" s="2"/>
      <c r="F19" s="9">
        <v>10</v>
      </c>
      <c r="G19" s="9"/>
      <c r="H19" s="9"/>
      <c r="I19" s="9"/>
      <c r="J19" s="2"/>
    </row>
    <row r="20" spans="1:10" x14ac:dyDescent="0.2">
      <c r="A20" s="9">
        <v>11</v>
      </c>
      <c r="B20" s="9"/>
      <c r="C20" s="9"/>
      <c r="D20" s="9"/>
      <c r="E20" s="2"/>
      <c r="F20" s="9">
        <v>11</v>
      </c>
      <c r="G20" s="9"/>
      <c r="H20" s="9"/>
      <c r="I20" s="9"/>
      <c r="J20" s="2"/>
    </row>
    <row r="21" spans="1:10" x14ac:dyDescent="0.2">
      <c r="A21" s="9">
        <v>12</v>
      </c>
      <c r="B21" s="9"/>
      <c r="C21" s="9"/>
      <c r="D21" s="9"/>
      <c r="E21" s="2"/>
      <c r="F21" s="9">
        <v>12</v>
      </c>
      <c r="G21" s="9"/>
      <c r="H21" s="9"/>
      <c r="I21" s="9"/>
      <c r="J21" s="2"/>
    </row>
    <row r="22" spans="1:10" x14ac:dyDescent="0.2">
      <c r="A22" s="9">
        <v>13</v>
      </c>
      <c r="B22" s="9"/>
      <c r="C22" s="9"/>
      <c r="D22" s="9"/>
      <c r="E22" s="2"/>
      <c r="F22" s="9">
        <v>13</v>
      </c>
      <c r="G22" s="9"/>
      <c r="H22" s="9"/>
      <c r="I22" s="9"/>
      <c r="J22" s="2"/>
    </row>
    <row r="23" spans="1:10" x14ac:dyDescent="0.2">
      <c r="A23" s="9">
        <v>14</v>
      </c>
      <c r="B23" s="9"/>
      <c r="C23" s="9"/>
      <c r="D23" s="9"/>
      <c r="E23" s="2"/>
      <c r="F23" s="9">
        <v>14</v>
      </c>
      <c r="G23" s="9"/>
      <c r="H23" s="9"/>
      <c r="I23" s="9"/>
      <c r="J23" s="2"/>
    </row>
    <row r="24" spans="1:10" x14ac:dyDescent="0.2">
      <c r="A24" s="9">
        <v>15</v>
      </c>
      <c r="B24" s="9"/>
      <c r="C24" s="9"/>
      <c r="D24" s="9"/>
      <c r="E24" s="2"/>
      <c r="F24" s="9">
        <v>15</v>
      </c>
      <c r="G24" s="9"/>
      <c r="H24" s="9"/>
      <c r="I24" s="9"/>
      <c r="J24" s="2"/>
    </row>
    <row r="25" spans="1:10" x14ac:dyDescent="0.2">
      <c r="A25" s="9">
        <v>16</v>
      </c>
      <c r="B25" s="9"/>
      <c r="C25" s="9"/>
      <c r="D25" s="9"/>
      <c r="E25" s="2"/>
      <c r="F25" s="9">
        <v>16</v>
      </c>
      <c r="G25" s="9"/>
      <c r="H25" s="9"/>
      <c r="I25" s="9"/>
      <c r="J25" s="2"/>
    </row>
    <row r="26" spans="1:10" x14ac:dyDescent="0.2">
      <c r="A26" s="9">
        <v>17</v>
      </c>
      <c r="B26" s="9"/>
      <c r="C26" s="9"/>
      <c r="D26" s="9"/>
      <c r="E26" s="2"/>
      <c r="F26" s="9">
        <v>17</v>
      </c>
      <c r="G26" s="9"/>
      <c r="H26" s="9"/>
      <c r="I26" s="9"/>
      <c r="J26" s="2"/>
    </row>
    <row r="27" spans="1:10" x14ac:dyDescent="0.2">
      <c r="A27" s="9">
        <v>18</v>
      </c>
      <c r="B27" s="9"/>
      <c r="C27" s="9"/>
      <c r="D27" s="9"/>
      <c r="E27" s="2"/>
      <c r="F27" s="9">
        <v>18</v>
      </c>
      <c r="G27" s="9"/>
      <c r="H27" s="9"/>
      <c r="I27" s="9"/>
      <c r="J27" s="2"/>
    </row>
    <row r="28" spans="1:10" x14ac:dyDescent="0.2">
      <c r="A28" s="9">
        <v>19</v>
      </c>
      <c r="B28" s="9"/>
      <c r="C28" s="9"/>
      <c r="D28" s="9"/>
      <c r="E28" s="2"/>
      <c r="F28" s="9">
        <v>19</v>
      </c>
      <c r="G28" s="9"/>
      <c r="H28" s="9"/>
      <c r="I28" s="9"/>
      <c r="J28" s="2"/>
    </row>
    <row r="29" spans="1:10" x14ac:dyDescent="0.2">
      <c r="A29" s="9">
        <v>20</v>
      </c>
      <c r="B29" s="9"/>
      <c r="C29" s="9"/>
      <c r="D29" s="9"/>
      <c r="E29" s="2"/>
      <c r="F29" s="9">
        <v>20</v>
      </c>
      <c r="G29" s="9"/>
      <c r="H29" s="9"/>
      <c r="I29" s="9"/>
      <c r="J29" s="2"/>
    </row>
    <row r="30" spans="1:10" x14ac:dyDescent="0.2">
      <c r="A30" s="9">
        <v>21</v>
      </c>
      <c r="B30" s="9"/>
      <c r="C30" s="9"/>
      <c r="D30" s="9"/>
      <c r="E30" s="2"/>
      <c r="F30" s="9">
        <v>21</v>
      </c>
      <c r="G30" s="9"/>
      <c r="H30" s="9"/>
      <c r="I30" s="9"/>
      <c r="J30" s="2"/>
    </row>
    <row r="31" spans="1:10" x14ac:dyDescent="0.2">
      <c r="A31" s="9">
        <v>22</v>
      </c>
      <c r="B31" s="9"/>
      <c r="C31" s="9"/>
      <c r="D31" s="9"/>
      <c r="E31" s="2"/>
      <c r="F31" s="9">
        <v>22</v>
      </c>
      <c r="G31" s="9"/>
      <c r="H31" s="9"/>
      <c r="I31" s="9"/>
      <c r="J31" s="2"/>
    </row>
    <row r="32" spans="1:10" x14ac:dyDescent="0.2">
      <c r="A32" s="12">
        <v>23</v>
      </c>
      <c r="B32" s="12"/>
      <c r="C32" s="12"/>
      <c r="D32" s="13"/>
      <c r="E32" s="17"/>
      <c r="F32" s="15">
        <v>23</v>
      </c>
      <c r="G32" s="12"/>
      <c r="H32" s="12"/>
      <c r="I32" s="12"/>
      <c r="J32" s="2"/>
    </row>
    <row r="33" spans="1:10" x14ac:dyDescent="0.2">
      <c r="A33" s="9">
        <v>24</v>
      </c>
      <c r="B33" s="9"/>
      <c r="C33" s="9"/>
      <c r="D33" s="14"/>
      <c r="E33" s="17"/>
      <c r="F33" s="16">
        <v>24</v>
      </c>
      <c r="G33" s="9"/>
      <c r="H33" s="9"/>
      <c r="I33" s="9"/>
      <c r="J33" s="2"/>
    </row>
    <row r="34" spans="1:10" x14ac:dyDescent="0.2">
      <c r="A34" s="3"/>
      <c r="B34" s="3"/>
      <c r="C34" s="3"/>
      <c r="D34" s="3"/>
      <c r="E34" s="2"/>
      <c r="F34" s="2"/>
      <c r="G34" s="2"/>
      <c r="H34" s="2"/>
      <c r="I34" s="2"/>
      <c r="J34" s="2"/>
    </row>
    <row r="35" spans="1:10" x14ac:dyDescent="0.2">
      <c r="A35" s="8" t="str">
        <f>"Großgruppe 3: " &amp; IF(D38,_xlfn.XLOOKUP(MAX(D37:D44),Einstellungen!$A$51:$A$52,Einstellungen!$B$51:$B$52,"",-1),"")</f>
        <v xml:space="preserve">Großgruppe 3: </v>
      </c>
      <c r="B35" s="93" t="s">
        <v>66</v>
      </c>
      <c r="C35" s="94"/>
      <c r="D35" s="95"/>
      <c r="E35" s="2"/>
      <c r="F35" s="8" t="str">
        <f>"Großgruppe 4: " &amp; IF(I38,_xlfn.XLOOKUP(MAX(I37:I44),Einstellungen!$A$51:$A$52,Einstellungen!$B$51:$B$52,"",-1),"")</f>
        <v xml:space="preserve">Großgruppe 4: </v>
      </c>
      <c r="G35" s="93" t="s">
        <v>66</v>
      </c>
      <c r="H35" s="94"/>
      <c r="I35" s="95"/>
      <c r="J35" s="2"/>
    </row>
    <row r="36" spans="1:10" x14ac:dyDescent="0.2">
      <c r="A36" s="59" t="s">
        <v>33</v>
      </c>
      <c r="B36" s="59" t="s">
        <v>34</v>
      </c>
      <c r="C36" s="59" t="s">
        <v>18</v>
      </c>
      <c r="D36" s="59" t="s">
        <v>21</v>
      </c>
      <c r="E36" s="2"/>
      <c r="F36" s="59" t="s">
        <v>33</v>
      </c>
      <c r="G36" s="59" t="s">
        <v>34</v>
      </c>
      <c r="H36" s="59" t="s">
        <v>18</v>
      </c>
      <c r="I36" s="59" t="s">
        <v>21</v>
      </c>
      <c r="J36" s="2"/>
    </row>
    <row r="37" spans="1:10" x14ac:dyDescent="0.2">
      <c r="A37" s="9">
        <v>1</v>
      </c>
      <c r="B37" s="9" t="str" cm="1">
        <f t="array" ref="B37">_xlfn._xlws.FILTER(Meldeformular!$B$11:$C$60,Meldeformular!$L$11:$L$60=3,"")</f>
        <v/>
      </c>
      <c r="C37" s="9"/>
      <c r="D37" s="9" t="str" cm="1">
        <f t="array" ref="D37">_xlfn._xlws.FILTER(Meldeformular!$F$11:$F$60,Meldeformular!$L$11:$L$60=3,"")</f>
        <v/>
      </c>
      <c r="E37" s="2"/>
      <c r="F37" s="9">
        <v>1</v>
      </c>
      <c r="G37" s="9" t="str" cm="1">
        <f t="array" ref="G37">_xlfn._xlws.FILTER(Meldeformular!$B$11:$C$60,Meldeformular!$L$11:$L$60=4,"")</f>
        <v/>
      </c>
      <c r="H37" s="9"/>
      <c r="I37" s="9" t="str" cm="1">
        <f t="array" ref="I37">_xlfn._xlws.FILTER(Meldeformular!$F$11:$F$60,Meldeformular!$L$11:$L$60=4,"")</f>
        <v/>
      </c>
      <c r="J37" s="2"/>
    </row>
    <row r="38" spans="1:10" x14ac:dyDescent="0.2">
      <c r="A38" s="9">
        <v>2</v>
      </c>
      <c r="B38" s="9"/>
      <c r="C38" s="9"/>
      <c r="D38" s="9"/>
      <c r="E38" s="2"/>
      <c r="F38" s="9">
        <v>2</v>
      </c>
      <c r="G38" s="9"/>
      <c r="H38" s="9"/>
      <c r="I38" s="9"/>
      <c r="J38" s="2"/>
    </row>
    <row r="39" spans="1:10" x14ac:dyDescent="0.2">
      <c r="A39" s="9">
        <v>3</v>
      </c>
      <c r="B39" s="9"/>
      <c r="C39" s="9"/>
      <c r="D39" s="9"/>
      <c r="E39" s="2"/>
      <c r="F39" s="9">
        <v>3</v>
      </c>
      <c r="G39" s="9"/>
      <c r="H39" s="9"/>
      <c r="I39" s="9"/>
      <c r="J39" s="2"/>
    </row>
    <row r="40" spans="1:10" x14ac:dyDescent="0.2">
      <c r="A40" s="9">
        <v>4</v>
      </c>
      <c r="B40" s="9"/>
      <c r="C40" s="9"/>
      <c r="D40" s="9"/>
      <c r="E40" s="2"/>
      <c r="F40" s="9">
        <v>4</v>
      </c>
      <c r="G40" s="9"/>
      <c r="H40" s="9"/>
      <c r="I40" s="9"/>
      <c r="J40" s="2"/>
    </row>
    <row r="41" spans="1:10" x14ac:dyDescent="0.2">
      <c r="A41" s="9">
        <v>5</v>
      </c>
      <c r="B41" s="9"/>
      <c r="C41" s="9"/>
      <c r="D41" s="9"/>
      <c r="E41" s="2"/>
      <c r="F41" s="9">
        <v>5</v>
      </c>
      <c r="G41" s="9"/>
      <c r="H41" s="9"/>
      <c r="I41" s="9"/>
      <c r="J41" s="2"/>
    </row>
    <row r="42" spans="1:10" x14ac:dyDescent="0.2">
      <c r="A42" s="9">
        <v>6</v>
      </c>
      <c r="B42" s="9"/>
      <c r="C42" s="9"/>
      <c r="D42" s="9"/>
      <c r="E42" s="2"/>
      <c r="F42" s="9">
        <v>6</v>
      </c>
      <c r="G42" s="9"/>
      <c r="H42" s="9"/>
      <c r="I42" s="9"/>
      <c r="J42" s="2"/>
    </row>
    <row r="43" spans="1:10" x14ac:dyDescent="0.2">
      <c r="A43" s="9">
        <v>7</v>
      </c>
      <c r="B43" s="9"/>
      <c r="C43" s="9"/>
      <c r="D43" s="9"/>
      <c r="E43" s="2"/>
      <c r="F43" s="9">
        <v>7</v>
      </c>
      <c r="G43" s="9"/>
      <c r="H43" s="9"/>
      <c r="I43" s="9"/>
      <c r="J43" s="2"/>
    </row>
    <row r="44" spans="1:10" x14ac:dyDescent="0.2">
      <c r="A44" s="9">
        <v>8</v>
      </c>
      <c r="B44" s="9"/>
      <c r="C44" s="9"/>
      <c r="D44" s="9"/>
      <c r="E44" s="2"/>
      <c r="F44" s="9">
        <v>8</v>
      </c>
      <c r="G44" s="9"/>
      <c r="H44" s="9"/>
      <c r="I44" s="9"/>
      <c r="J44" s="2"/>
    </row>
    <row r="45" spans="1:10" x14ac:dyDescent="0.2">
      <c r="A45" s="9">
        <v>9</v>
      </c>
      <c r="B45" s="9"/>
      <c r="C45" s="9"/>
      <c r="D45" s="9"/>
      <c r="E45" s="2"/>
      <c r="F45" s="9">
        <v>9</v>
      </c>
      <c r="G45" s="9"/>
      <c r="H45" s="9"/>
      <c r="I45" s="9"/>
      <c r="J45" s="2"/>
    </row>
    <row r="46" spans="1:10" x14ac:dyDescent="0.2">
      <c r="A46" s="9">
        <v>10</v>
      </c>
      <c r="B46" s="9"/>
      <c r="C46" s="9"/>
      <c r="D46" s="9"/>
      <c r="E46" s="2"/>
      <c r="F46" s="9">
        <v>10</v>
      </c>
      <c r="G46" s="9"/>
      <c r="H46" s="9"/>
      <c r="I46" s="9"/>
      <c r="J46" s="2"/>
    </row>
    <row r="47" spans="1:10" x14ac:dyDescent="0.2">
      <c r="A47" s="9">
        <v>11</v>
      </c>
      <c r="B47" s="9"/>
      <c r="C47" s="9"/>
      <c r="D47" s="9"/>
      <c r="E47" s="2"/>
      <c r="F47" s="9">
        <v>11</v>
      </c>
      <c r="G47" s="9"/>
      <c r="H47" s="9"/>
      <c r="I47" s="9"/>
      <c r="J47" s="2"/>
    </row>
    <row r="48" spans="1:10" x14ac:dyDescent="0.2">
      <c r="A48" s="9">
        <v>12</v>
      </c>
      <c r="B48" s="9"/>
      <c r="C48" s="9"/>
      <c r="D48" s="9"/>
      <c r="E48" s="2"/>
      <c r="F48" s="9">
        <v>12</v>
      </c>
      <c r="G48" s="9"/>
      <c r="H48" s="9"/>
      <c r="I48" s="9"/>
      <c r="J48" s="2"/>
    </row>
    <row r="49" spans="1:10" x14ac:dyDescent="0.2">
      <c r="A49" s="9">
        <v>13</v>
      </c>
      <c r="B49" s="9"/>
      <c r="C49" s="9"/>
      <c r="D49" s="9"/>
      <c r="E49" s="2"/>
      <c r="F49" s="9">
        <v>13</v>
      </c>
      <c r="G49" s="9"/>
      <c r="H49" s="9"/>
      <c r="I49" s="9"/>
      <c r="J49" s="2"/>
    </row>
    <row r="50" spans="1:10" x14ac:dyDescent="0.2">
      <c r="A50" s="9">
        <v>14</v>
      </c>
      <c r="B50" s="9"/>
      <c r="C50" s="9"/>
      <c r="D50" s="9"/>
      <c r="E50" s="2"/>
      <c r="F50" s="9">
        <v>14</v>
      </c>
      <c r="G50" s="9"/>
      <c r="H50" s="9"/>
      <c r="I50" s="9"/>
      <c r="J50" s="2"/>
    </row>
    <row r="51" spans="1:10" x14ac:dyDescent="0.2">
      <c r="A51" s="9">
        <v>15</v>
      </c>
      <c r="B51" s="9"/>
      <c r="C51" s="9"/>
      <c r="D51" s="9"/>
      <c r="E51" s="2"/>
      <c r="F51" s="9">
        <v>15</v>
      </c>
      <c r="G51" s="9"/>
      <c r="H51" s="9"/>
      <c r="I51" s="9"/>
      <c r="J51" s="2"/>
    </row>
    <row r="52" spans="1:10" x14ac:dyDescent="0.2">
      <c r="A52" s="9">
        <v>16</v>
      </c>
      <c r="B52" s="9"/>
      <c r="C52" s="9"/>
      <c r="D52" s="9"/>
      <c r="E52" s="2"/>
      <c r="F52" s="9">
        <v>16</v>
      </c>
      <c r="G52" s="9"/>
      <c r="H52" s="9"/>
      <c r="I52" s="9"/>
      <c r="J52" s="2"/>
    </row>
    <row r="53" spans="1:10" x14ac:dyDescent="0.2">
      <c r="A53" s="9">
        <v>17</v>
      </c>
      <c r="B53" s="9"/>
      <c r="C53" s="9"/>
      <c r="D53" s="9"/>
      <c r="E53" s="2"/>
      <c r="F53" s="9">
        <v>17</v>
      </c>
      <c r="G53" s="9"/>
      <c r="H53" s="9"/>
      <c r="I53" s="9"/>
      <c r="J53" s="2"/>
    </row>
    <row r="54" spans="1:10" x14ac:dyDescent="0.2">
      <c r="A54" s="9">
        <v>18</v>
      </c>
      <c r="B54" s="9"/>
      <c r="C54" s="9"/>
      <c r="D54" s="9"/>
      <c r="E54" s="2"/>
      <c r="F54" s="9">
        <v>18</v>
      </c>
      <c r="G54" s="9"/>
      <c r="H54" s="9"/>
      <c r="I54" s="9"/>
      <c r="J54" s="2"/>
    </row>
    <row r="55" spans="1:10" x14ac:dyDescent="0.2">
      <c r="A55" s="9">
        <v>19</v>
      </c>
      <c r="B55" s="9"/>
      <c r="C55" s="9"/>
      <c r="D55" s="9"/>
      <c r="E55" s="2"/>
      <c r="F55" s="9">
        <v>19</v>
      </c>
      <c r="G55" s="9"/>
      <c r="H55" s="9"/>
      <c r="I55" s="9"/>
      <c r="J55" s="2"/>
    </row>
    <row r="56" spans="1:10" x14ac:dyDescent="0.2">
      <c r="A56" s="9">
        <v>20</v>
      </c>
      <c r="B56" s="9"/>
      <c r="C56" s="9"/>
      <c r="D56" s="9"/>
      <c r="E56" s="2"/>
      <c r="F56" s="9">
        <v>20</v>
      </c>
      <c r="G56" s="9"/>
      <c r="H56" s="9"/>
      <c r="I56" s="9"/>
      <c r="J56" s="2"/>
    </row>
    <row r="57" spans="1:10" x14ac:dyDescent="0.2">
      <c r="A57" s="9">
        <v>21</v>
      </c>
      <c r="B57" s="9"/>
      <c r="C57" s="9"/>
      <c r="D57" s="9"/>
      <c r="E57" s="2"/>
      <c r="F57" s="9">
        <v>21</v>
      </c>
      <c r="G57" s="9"/>
      <c r="H57" s="9"/>
      <c r="I57" s="9"/>
      <c r="J57" s="2"/>
    </row>
    <row r="58" spans="1:10" x14ac:dyDescent="0.2">
      <c r="A58" s="9">
        <v>22</v>
      </c>
      <c r="B58" s="9"/>
      <c r="C58" s="9"/>
      <c r="D58" s="9"/>
      <c r="E58" s="2"/>
      <c r="F58" s="9">
        <v>22</v>
      </c>
      <c r="G58" s="9"/>
      <c r="H58" s="9"/>
      <c r="I58" s="9"/>
      <c r="J58" s="2"/>
    </row>
    <row r="59" spans="1:10" x14ac:dyDescent="0.2">
      <c r="A59" s="9">
        <v>23</v>
      </c>
      <c r="B59" s="9"/>
      <c r="C59" s="9"/>
      <c r="D59" s="9"/>
      <c r="E59" s="2"/>
      <c r="F59" s="12">
        <v>23</v>
      </c>
      <c r="G59" s="12"/>
      <c r="H59" s="12"/>
      <c r="I59" s="9"/>
      <c r="J59" s="2"/>
    </row>
    <row r="60" spans="1:10" x14ac:dyDescent="0.2">
      <c r="A60" s="9">
        <v>24</v>
      </c>
      <c r="B60" s="9"/>
      <c r="C60" s="9"/>
      <c r="D60" s="9"/>
      <c r="E60" s="2"/>
      <c r="F60" s="9">
        <v>24</v>
      </c>
      <c r="G60" s="9"/>
      <c r="H60" s="9"/>
      <c r="I60" s="9"/>
      <c r="J60" s="2"/>
    </row>
    <row r="61" spans="1:1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</row>
  </sheetData>
  <sheetProtection algorithmName="SHA-512" hashValue="hMR7DKAkKJDhyVZv4aeX5o6DvBmRdgbuxCWYTMBv8GKQXKQBuQGLxh4p8bW3+akpaiCguhCDME3o2X4XXILihA==" saltValue="V+mxZh0pJ42QDMAM6M8hZA==" spinCount="100000" sheet="1" selectLockedCells="1"/>
  <mergeCells count="10">
    <mergeCell ref="B35:D35"/>
    <mergeCell ref="G35:I35"/>
    <mergeCell ref="B6:D6"/>
    <mergeCell ref="G6:I6"/>
    <mergeCell ref="A1:J2"/>
    <mergeCell ref="A3:J4"/>
    <mergeCell ref="B5:D5"/>
    <mergeCell ref="E5:J5"/>
    <mergeCell ref="B8:D8"/>
    <mergeCell ref="G8:I8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10</vt:i4>
      </vt:variant>
    </vt:vector>
  </HeadingPairs>
  <TitlesOfParts>
    <vt:vector size="21" baseType="lpstr">
      <vt:lpstr>Einstellungen</vt:lpstr>
      <vt:lpstr>Allgemeine Informationen</vt:lpstr>
      <vt:lpstr>Meldeformular</vt:lpstr>
      <vt:lpstr>Einzelkür</vt:lpstr>
      <vt:lpstr>Paarkür</vt:lpstr>
      <vt:lpstr>JE + Expert Einzelkür</vt:lpstr>
      <vt:lpstr>JE + Expert Paarkür</vt:lpstr>
      <vt:lpstr>Kleingruppe</vt:lpstr>
      <vt:lpstr>Großgruppe</vt:lpstr>
      <vt:lpstr>Jury</vt:lpstr>
      <vt:lpstr>Zusammenfassung</vt:lpstr>
      <vt:lpstr>Altersklasse_Cup_Alter</vt:lpstr>
      <vt:lpstr>Altersklasse_Cup_Kategorie</vt:lpstr>
      <vt:lpstr>Altersklasse_Kategorie</vt:lpstr>
      <vt:lpstr>Altersklassen_Alter</vt:lpstr>
      <vt:lpstr>Geschlecht_Dropdown</vt:lpstr>
      <vt:lpstr>ja_nein_dropdown</vt:lpstr>
      <vt:lpstr>Jury_Dropdown</vt:lpstr>
      <vt:lpstr>Kleingruppe_Großgruppe</vt:lpstr>
      <vt:lpstr>Meldeformular_Namen</vt:lpstr>
      <vt:lpstr>Paarkür_dropdown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Celine Glatt</dc:creator>
  <cp:lastModifiedBy>Rebecca Schoettler</cp:lastModifiedBy>
  <dcterms:created xsi:type="dcterms:W3CDTF">2025-02-20T10:54:10Z</dcterms:created>
  <dcterms:modified xsi:type="dcterms:W3CDTF">2026-04-07T12:13:00Z</dcterms:modified>
</cp:coreProperties>
</file>